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28800" windowHeight="11745"/>
  </bookViews>
  <sheets>
    <sheet name="2019 ny förd" sheetId="13" r:id="rId1"/>
    <sheet name="2019" sheetId="12" r:id="rId2"/>
    <sheet name="Blad1" sheetId="2" r:id="rId3"/>
  </sheets>
  <calcPr calcId="162913"/>
</workbook>
</file>

<file path=xl/calcChain.xml><?xml version="1.0" encoding="utf-8"?>
<calcChain xmlns="http://schemas.openxmlformats.org/spreadsheetml/2006/main">
  <c r="B10" i="13" l="1"/>
  <c r="B9" i="13" l="1"/>
  <c r="N16" i="12"/>
  <c r="J21" i="13" l="1"/>
  <c r="H13" i="13"/>
  <c r="H12" i="13"/>
  <c r="H10" i="13"/>
  <c r="H11" i="13"/>
  <c r="G13" i="13"/>
  <c r="G12" i="13"/>
  <c r="G11" i="13"/>
  <c r="G10" i="13"/>
  <c r="F13" i="13"/>
  <c r="F12" i="13"/>
  <c r="F11" i="13"/>
  <c r="F10" i="13"/>
  <c r="E13" i="13"/>
  <c r="E12" i="13"/>
  <c r="E11" i="13"/>
  <c r="E10" i="13"/>
  <c r="D13" i="13"/>
  <c r="D12" i="13"/>
  <c r="D11" i="13"/>
  <c r="D10" i="13"/>
  <c r="C13" i="13"/>
  <c r="C12" i="13"/>
  <c r="C11" i="13"/>
  <c r="C10" i="13"/>
  <c r="B13" i="13"/>
  <c r="B12" i="13"/>
  <c r="B11" i="13"/>
  <c r="J24" i="13"/>
  <c r="I12" i="13"/>
  <c r="I8" i="13"/>
  <c r="H9" i="13"/>
  <c r="F9" i="13"/>
  <c r="E9" i="13"/>
  <c r="D9" i="13"/>
  <c r="C9" i="13"/>
  <c r="I6" i="13"/>
  <c r="D5" i="13"/>
  <c r="I5" i="13" s="1"/>
  <c r="I4" i="13"/>
  <c r="I3" i="13"/>
  <c r="G2" i="13"/>
  <c r="I2" i="13" s="1"/>
  <c r="B2" i="13"/>
  <c r="G14" i="12"/>
  <c r="C14" i="12"/>
  <c r="B14" i="12"/>
  <c r="H13" i="12"/>
  <c r="G13" i="12"/>
  <c r="F13" i="12"/>
  <c r="E13" i="12"/>
  <c r="D13" i="12"/>
  <c r="C13" i="12"/>
  <c r="B13" i="12"/>
  <c r="I12" i="12"/>
  <c r="H12" i="12" s="1"/>
  <c r="F12" i="12"/>
  <c r="H11" i="12"/>
  <c r="G11" i="12"/>
  <c r="F11" i="12"/>
  <c r="E11" i="12"/>
  <c r="D11" i="12"/>
  <c r="C11" i="12"/>
  <c r="B11" i="12"/>
  <c r="I9" i="12"/>
  <c r="H7" i="12"/>
  <c r="H10" i="12" s="1"/>
  <c r="G7" i="12"/>
  <c r="F7" i="12"/>
  <c r="F10" i="12" s="1"/>
  <c r="F14" i="12" s="1"/>
  <c r="E7" i="12"/>
  <c r="E10" i="12" s="1"/>
  <c r="D7" i="12"/>
  <c r="C7" i="12"/>
  <c r="C10" i="12" s="1"/>
  <c r="B7" i="12"/>
  <c r="I6" i="12"/>
  <c r="I5" i="12"/>
  <c r="D5" i="12"/>
  <c r="D10" i="12" s="1"/>
  <c r="I4" i="12"/>
  <c r="I3" i="12"/>
  <c r="G2" i="12"/>
  <c r="G10" i="12" s="1"/>
  <c r="B2" i="12"/>
  <c r="I2" i="12" s="1"/>
  <c r="G25" i="13" l="1"/>
  <c r="D25" i="13"/>
  <c r="H25" i="13"/>
  <c r="B25" i="13"/>
  <c r="G9" i="13"/>
  <c r="C25" i="13"/>
  <c r="E14" i="13"/>
  <c r="E25" i="13"/>
  <c r="F25" i="13"/>
  <c r="D14" i="13"/>
  <c r="D18" i="13" s="1"/>
  <c r="F14" i="13"/>
  <c r="F18" i="13" s="1"/>
  <c r="H14" i="13"/>
  <c r="H22" i="13" s="1"/>
  <c r="C14" i="13"/>
  <c r="C22" i="13" s="1"/>
  <c r="I9" i="13"/>
  <c r="B14" i="13"/>
  <c r="B16" i="13" s="1"/>
  <c r="F21" i="12"/>
  <c r="F22" i="12"/>
  <c r="F18" i="12"/>
  <c r="F17" i="12"/>
  <c r="F16" i="12"/>
  <c r="F19" i="12"/>
  <c r="H14" i="12"/>
  <c r="H22" i="12" s="1"/>
  <c r="B12" i="12"/>
  <c r="B10" i="12"/>
  <c r="D12" i="12"/>
  <c r="D14" i="12" s="1"/>
  <c r="C12" i="12"/>
  <c r="E12" i="12"/>
  <c r="E14" i="12" s="1"/>
  <c r="G12" i="12"/>
  <c r="F22" i="13" l="1"/>
  <c r="F21" i="13"/>
  <c r="F19" i="13"/>
  <c r="F16" i="13"/>
  <c r="D16" i="13"/>
  <c r="E17" i="13"/>
  <c r="E18" i="13"/>
  <c r="E19" i="13"/>
  <c r="E21" i="13"/>
  <c r="E22" i="13"/>
  <c r="C18" i="13"/>
  <c r="F17" i="13"/>
  <c r="C17" i="13"/>
  <c r="C23" i="13"/>
  <c r="D17" i="13"/>
  <c r="G14" i="13"/>
  <c r="I14" i="13" s="1"/>
  <c r="C16" i="13"/>
  <c r="B19" i="13"/>
  <c r="B17" i="13"/>
  <c r="B18" i="13"/>
  <c r="E21" i="12"/>
  <c r="E22" i="12"/>
  <c r="E17" i="12"/>
  <c r="E18" i="12"/>
  <c r="E19" i="12"/>
  <c r="C23" i="12"/>
  <c r="J23" i="12" s="1"/>
  <c r="K23" i="12" s="1"/>
  <c r="N23" i="12" s="1"/>
  <c r="C22" i="12"/>
  <c r="J22" i="12" s="1"/>
  <c r="K22" i="12" s="1"/>
  <c r="N22" i="12" s="1"/>
  <c r="C17" i="12"/>
  <c r="C16" i="12"/>
  <c r="C18" i="12"/>
  <c r="D16" i="12"/>
  <c r="D18" i="12"/>
  <c r="D17" i="12"/>
  <c r="I10" i="12"/>
  <c r="G21" i="12"/>
  <c r="G22" i="12"/>
  <c r="G23" i="12"/>
  <c r="J19" i="13" l="1"/>
  <c r="K19" i="13" s="1"/>
  <c r="N19" i="13" s="1"/>
  <c r="J16" i="13"/>
  <c r="K16" i="13" s="1"/>
  <c r="N16" i="13" s="1"/>
  <c r="J17" i="13"/>
  <c r="K17" i="13" s="1"/>
  <c r="N17" i="13" s="1"/>
  <c r="G23" i="13"/>
  <c r="J23" i="13" s="1"/>
  <c r="K23" i="13" s="1"/>
  <c r="N23" i="13" s="1"/>
  <c r="G22" i="13"/>
  <c r="J22" i="13" s="1"/>
  <c r="K22" i="13" s="1"/>
  <c r="N22" i="13" s="1"/>
  <c r="G21" i="13"/>
  <c r="K21" i="13" s="1"/>
  <c r="N21" i="13" s="1"/>
  <c r="J18" i="13"/>
  <c r="K18" i="13" s="1"/>
  <c r="N18" i="13" s="1"/>
  <c r="B19" i="12"/>
  <c r="J19" i="12" s="1"/>
  <c r="K19" i="12" s="1"/>
  <c r="N19" i="12" s="1"/>
  <c r="B18" i="12"/>
  <c r="J18" i="12" s="1"/>
  <c r="K18" i="12" s="1"/>
  <c r="N18" i="12" s="1"/>
  <c r="B17" i="12"/>
  <c r="J17" i="12" s="1"/>
  <c r="K17" i="12" s="1"/>
  <c r="N17" i="12" s="1"/>
  <c r="I14" i="12"/>
  <c r="B16" i="12"/>
  <c r="J16" i="12" s="1"/>
  <c r="K16" i="12" s="1"/>
  <c r="J21" i="12"/>
  <c r="K21" i="12" s="1"/>
  <c r="N21" i="12" s="1"/>
</calcChain>
</file>

<file path=xl/comments1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sharedStrings.xml><?xml version="1.0" encoding="utf-8"?>
<sst xmlns="http://schemas.openxmlformats.org/spreadsheetml/2006/main" count="124" uniqueCount="40">
  <si>
    <t>BGA1</t>
  </si>
  <si>
    <t>BGA6</t>
  </si>
  <si>
    <t>BGA2</t>
  </si>
  <si>
    <t>BGA4</t>
  </si>
  <si>
    <t>BGA5</t>
  </si>
  <si>
    <t>SGA1</t>
  </si>
  <si>
    <t>SGA2</t>
  </si>
  <si>
    <t>TOT SAMF</t>
  </si>
  <si>
    <t>Fastighetsskötsel</t>
  </si>
  <si>
    <t>El</t>
  </si>
  <si>
    <t>Kabel-TV</t>
  </si>
  <si>
    <t>Underhållsfond</t>
  </si>
  <si>
    <t>Försäkring</t>
  </si>
  <si>
    <t>Räntor/Amortering</t>
  </si>
  <si>
    <t>Övrigt/Oförutsett</t>
  </si>
  <si>
    <t>SUMMA</t>
  </si>
  <si>
    <t>FASTGHETSBETECKNING:</t>
  </si>
  <si>
    <t>ÅRSAVG</t>
  </si>
  <si>
    <t>MÅNAVG</t>
  </si>
  <si>
    <r>
      <t xml:space="preserve">Blommelund 1-22 </t>
    </r>
    <r>
      <rPr>
        <b/>
        <sz val="8"/>
        <rFont val="Arial"/>
        <family val="2"/>
      </rPr>
      <t>(1 andel var)</t>
    </r>
  </si>
  <si>
    <t>X</t>
  </si>
  <si>
    <r>
      <t>Blommelund 23-37</t>
    </r>
    <r>
      <rPr>
        <b/>
        <sz val="8"/>
        <rFont val="Arial"/>
        <family val="2"/>
      </rPr>
      <t xml:space="preserve"> (1 andel var)</t>
    </r>
  </si>
  <si>
    <r>
      <t xml:space="preserve">Blommelund 41-55 </t>
    </r>
    <r>
      <rPr>
        <b/>
        <sz val="8"/>
        <rFont val="Arial"/>
        <family val="2"/>
      </rPr>
      <t>(1 andel var)</t>
    </r>
  </si>
  <si>
    <r>
      <t>Blommelund 39</t>
    </r>
    <r>
      <rPr>
        <b/>
        <sz val="8"/>
        <rFont val="Arial"/>
        <family val="2"/>
      </rPr>
      <t xml:space="preserve"> (23 andelar)</t>
    </r>
  </si>
  <si>
    <r>
      <t xml:space="preserve">Sandbyhov 31 </t>
    </r>
    <r>
      <rPr>
        <b/>
        <sz val="8"/>
        <rFont val="Arial"/>
        <family val="2"/>
      </rPr>
      <t>(23 andelar)</t>
    </r>
  </si>
  <si>
    <r>
      <t xml:space="preserve">Sandbyhov 34-59 </t>
    </r>
    <r>
      <rPr>
        <b/>
        <sz val="8"/>
        <rFont val="Arial"/>
        <family val="2"/>
      </rPr>
      <t>(1 andel var)</t>
    </r>
  </si>
  <si>
    <r>
      <t xml:space="preserve">Sandbyhov 33 </t>
    </r>
    <r>
      <rPr>
        <b/>
        <sz val="8"/>
        <rFont val="Arial"/>
        <family val="2"/>
      </rPr>
      <t>(10 andelar)</t>
    </r>
  </si>
  <si>
    <t>BGA1=Blommelund gemensamhetsanläggning 1</t>
  </si>
  <si>
    <t>BGA6=Blommelund gemensamhetsanläggning 6</t>
  </si>
  <si>
    <t>BGA2=Blommelund gemensamhetsanläggning 2</t>
  </si>
  <si>
    <t>BGA4=Blommelund gemensamhetsanläggning 4</t>
  </si>
  <si>
    <t>BGA5=Blommelund gemensamhetsanläggning 5</t>
  </si>
  <si>
    <t>SGA1=Sandbyhov gemensamhetsanläggning 1</t>
  </si>
  <si>
    <t>SGA2=Sandbyhov gemensamhetsanläggning 2</t>
  </si>
  <si>
    <t>Styrelsen föreslår uttaxering 1/4 och 1/10 halvårsvis</t>
  </si>
  <si>
    <t>Styrelse</t>
  </si>
  <si>
    <t>Ekonomisk förvaltning</t>
  </si>
  <si>
    <t>Insparad el avbetalning belysning</t>
  </si>
  <si>
    <t>Administration, web, stämma, bank</t>
  </si>
  <si>
    <t>Att fakturera halvårsvis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</si>
</sst>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2F3D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0" fontId="1" fillId="3" borderId="0" xfId="0" applyFont="1" applyFill="1"/>
    <xf numFmtId="1" fontId="0" fillId="3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8" borderId="0" xfId="0" applyFont="1" applyFill="1"/>
    <xf numFmtId="1" fontId="0" fillId="8" borderId="0" xfId="0" applyNumberFormat="1" applyFill="1" applyAlignment="1">
      <alignment horizontal="right"/>
    </xf>
    <xf numFmtId="0" fontId="0" fillId="8" borderId="0" xfId="0" applyFill="1" applyAlignment="1">
      <alignment horizontal="center"/>
    </xf>
    <xf numFmtId="1" fontId="0" fillId="8" borderId="0" xfId="0" applyNumberFormat="1" applyFill="1"/>
    <xf numFmtId="164" fontId="1" fillId="8" borderId="0" xfId="0" applyNumberFormat="1" applyFont="1" applyFill="1"/>
    <xf numFmtId="0" fontId="1" fillId="9" borderId="0" xfId="0" applyFont="1" applyFill="1"/>
    <xf numFmtId="1" fontId="0" fillId="9" borderId="0" xfId="0" applyNumberFormat="1" applyFill="1" applyAlignment="1">
      <alignment horizontal="right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164" fontId="1" fillId="9" borderId="0" xfId="0" applyNumberFormat="1" applyFont="1" applyFill="1"/>
    <xf numFmtId="0" fontId="1" fillId="10" borderId="0" xfId="0" applyFont="1" applyFill="1"/>
    <xf numFmtId="1" fontId="0" fillId="10" borderId="0" xfId="0" applyNumberFormat="1" applyFill="1" applyAlignment="1">
      <alignment horizontal="right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/>
    <xf numFmtId="164" fontId="1" fillId="10" borderId="0" xfId="0" applyNumberFormat="1" applyFont="1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/>
    <xf numFmtId="0" fontId="1" fillId="11" borderId="0" xfId="0" applyFont="1" applyFill="1"/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1" fontId="0" fillId="11" borderId="0" xfId="0" applyNumberFormat="1" applyFill="1"/>
    <xf numFmtId="164" fontId="1" fillId="11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2" fontId="0" fillId="11" borderId="0" xfId="0" applyNumberForma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32</xdr:row>
      <xdr:rowOff>66675</xdr:rowOff>
    </xdr:from>
    <xdr:to>
      <xdr:col>4</xdr:col>
      <xdr:colOff>609600</xdr:colOff>
      <xdr:row>33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31</xdr:row>
      <xdr:rowOff>123825</xdr:rowOff>
    </xdr:from>
    <xdr:to>
      <xdr:col>4</xdr:col>
      <xdr:colOff>457200</xdr:colOff>
      <xdr:row>33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333375</xdr:colOff>
      <xdr:row>29</xdr:row>
      <xdr:rowOff>9525</xdr:rowOff>
    </xdr:from>
    <xdr:to>
      <xdr:col>6</xdr:col>
      <xdr:colOff>409575</xdr:colOff>
      <xdr:row>30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739140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6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29</xdr:row>
      <xdr:rowOff>66675</xdr:rowOff>
    </xdr:from>
    <xdr:to>
      <xdr:col>4</xdr:col>
      <xdr:colOff>609600</xdr:colOff>
      <xdr:row>30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28</xdr:row>
      <xdr:rowOff>123825</xdr:rowOff>
    </xdr:from>
    <xdr:to>
      <xdr:col>4</xdr:col>
      <xdr:colOff>457200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333375</xdr:colOff>
      <xdr:row>26</xdr:row>
      <xdr:rowOff>9525</xdr:rowOff>
    </xdr:from>
    <xdr:to>
      <xdr:col>6</xdr:col>
      <xdr:colOff>409575</xdr:colOff>
      <xdr:row>27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workbookViewId="0">
      <selection activeCell="B43" sqref="B43"/>
    </sheetView>
  </sheetViews>
  <sheetFormatPr defaultRowHeight="12.75" x14ac:dyDescent="0.2"/>
  <cols>
    <col min="1" max="1" width="30.140625" customWidth="1"/>
    <col min="2" max="2" width="12.28515625" bestFit="1" customWidth="1"/>
    <col min="3" max="7" width="10.5703125" bestFit="1" customWidth="1"/>
    <col min="8" max="9" width="9.5703125" bestFit="1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15">
        <f>26490+18000+15000</f>
        <v>59490</v>
      </c>
      <c r="C2" s="8">
        <v>2207</v>
      </c>
      <c r="D2" s="9">
        <v>0</v>
      </c>
      <c r="E2" s="10">
        <v>0</v>
      </c>
      <c r="F2" s="11">
        <v>0</v>
      </c>
      <c r="G2" s="12">
        <f>15453+12000+10000</f>
        <v>37453</v>
      </c>
      <c r="H2" s="11">
        <v>0</v>
      </c>
      <c r="I2" s="1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9">
        <v>13000</v>
      </c>
      <c r="C3" s="13">
        <v>0</v>
      </c>
      <c r="D3" s="9">
        <v>0</v>
      </c>
      <c r="E3" s="10">
        <v>0</v>
      </c>
      <c r="F3" s="11">
        <v>0</v>
      </c>
      <c r="G3" s="14">
        <v>10000</v>
      </c>
      <c r="H3" s="11">
        <v>0</v>
      </c>
      <c r="I3" s="14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9">
        <v>15500</v>
      </c>
      <c r="C4" s="13"/>
      <c r="D4" s="9"/>
      <c r="E4" s="10"/>
      <c r="F4" s="11"/>
      <c r="G4" s="14">
        <v>10000</v>
      </c>
      <c r="H4" s="11"/>
      <c r="I4" s="14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9">
        <v>0</v>
      </c>
      <c r="C5" s="13">
        <v>0</v>
      </c>
      <c r="D5" s="15">
        <f>(2039*4)</f>
        <v>8156</v>
      </c>
      <c r="E5" s="10">
        <v>0</v>
      </c>
      <c r="F5" s="11">
        <v>0</v>
      </c>
      <c r="G5" s="14">
        <v>0</v>
      </c>
      <c r="H5" s="11">
        <v>0</v>
      </c>
      <c r="I5" s="1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9">
        <v>34567</v>
      </c>
      <c r="C6" s="13">
        <v>4863</v>
      </c>
      <c r="D6" s="9">
        <v>1418</v>
      </c>
      <c r="E6" s="10">
        <v>2026</v>
      </c>
      <c r="F6" s="11">
        <v>2026</v>
      </c>
      <c r="G6" s="14">
        <v>9118</v>
      </c>
      <c r="H6" s="11">
        <v>4052</v>
      </c>
      <c r="I6" s="14">
        <f>SUM(B6:H6)</f>
        <v>58070</v>
      </c>
      <c r="J6" s="1"/>
      <c r="K6" s="1"/>
      <c r="L6" s="1"/>
      <c r="M6" s="1"/>
    </row>
    <row r="7" spans="1:17" hidden="1" x14ac:dyDescent="0.2">
      <c r="A7" s="1" t="s">
        <v>13</v>
      </c>
      <c r="B7" s="15">
        <v>0</v>
      </c>
      <c r="C7" s="8">
        <v>0</v>
      </c>
      <c r="D7" s="15">
        <v>0</v>
      </c>
      <c r="E7" s="16">
        <v>0</v>
      </c>
      <c r="F7" s="17">
        <v>0</v>
      </c>
      <c r="G7" s="12">
        <v>0</v>
      </c>
      <c r="H7" s="17">
        <v>0</v>
      </c>
      <c r="I7" s="14"/>
      <c r="J7" s="1"/>
      <c r="K7" s="1"/>
      <c r="L7" s="1"/>
      <c r="M7" s="1"/>
    </row>
    <row r="8" spans="1:17" x14ac:dyDescent="0.2">
      <c r="A8" s="1" t="s">
        <v>14</v>
      </c>
      <c r="B8" s="9">
        <v>10000</v>
      </c>
      <c r="C8" s="13">
        <v>0</v>
      </c>
      <c r="D8" s="9">
        <v>0</v>
      </c>
      <c r="E8" s="10">
        <v>0</v>
      </c>
      <c r="F8" s="11">
        <v>0</v>
      </c>
      <c r="G8" s="14">
        <v>10000</v>
      </c>
      <c r="H8" s="11">
        <v>0</v>
      </c>
      <c r="I8" s="12">
        <f>SUM(B8:H8)</f>
        <v>20000</v>
      </c>
      <c r="J8" s="1"/>
      <c r="K8" s="1"/>
      <c r="L8" s="1"/>
      <c r="M8" s="1"/>
    </row>
    <row r="9" spans="1:17" x14ac:dyDescent="0.2">
      <c r="A9" s="18" t="s">
        <v>15</v>
      </c>
      <c r="B9" s="15">
        <f t="shared" ref="B9:H9" si="0">SUM(B2:B8)</f>
        <v>132557</v>
      </c>
      <c r="C9" s="8">
        <f t="shared" si="0"/>
        <v>7070</v>
      </c>
      <c r="D9" s="15">
        <f t="shared" si="0"/>
        <v>9574</v>
      </c>
      <c r="E9" s="16">
        <f t="shared" si="0"/>
        <v>2026</v>
      </c>
      <c r="F9" s="17">
        <f t="shared" si="0"/>
        <v>2026</v>
      </c>
      <c r="G9" s="12">
        <f t="shared" si="0"/>
        <v>76571</v>
      </c>
      <c r="H9" s="11">
        <f t="shared" si="0"/>
        <v>4052</v>
      </c>
      <c r="I9" s="12">
        <f>SUM(B9:H9)</f>
        <v>233876</v>
      </c>
      <c r="J9" s="1"/>
      <c r="K9" s="1"/>
      <c r="L9" s="1"/>
      <c r="M9" s="1"/>
    </row>
    <row r="10" spans="1:17" x14ac:dyDescent="0.2">
      <c r="A10" s="1" t="s">
        <v>12</v>
      </c>
      <c r="B10" s="15">
        <f>(75/526)*I10</f>
        <v>855.51330798479091</v>
      </c>
      <c r="C10" s="8">
        <f>(88/526)*I10</f>
        <v>1003.8022813688212</v>
      </c>
      <c r="D10" s="15">
        <f>(52/526)*I10</f>
        <v>593.15589353612165</v>
      </c>
      <c r="E10" s="16">
        <f>(102/526)*I10</f>
        <v>1163.4980988593156</v>
      </c>
      <c r="F10" s="17">
        <f>(124/526)*I10</f>
        <v>1414.4486692015209</v>
      </c>
      <c r="G10" s="12">
        <f>(59/526)*I10</f>
        <v>673.00380228136885</v>
      </c>
      <c r="H10" s="17">
        <f>(26/526)*I10</f>
        <v>296.57794676806083</v>
      </c>
      <c r="I10" s="14">
        <v>6000</v>
      </c>
      <c r="J10" s="1"/>
      <c r="K10" s="1"/>
      <c r="L10" s="1"/>
      <c r="M10" s="1"/>
    </row>
    <row r="11" spans="1:17" x14ac:dyDescent="0.2">
      <c r="A11" s="1" t="s">
        <v>35</v>
      </c>
      <c r="B11" s="15">
        <f t="shared" ref="B11:B13" si="1">(75/526)*I11</f>
        <v>3029.9429657794676</v>
      </c>
      <c r="C11" s="8">
        <f>(88/526)*I11</f>
        <v>3555.1330798479084</v>
      </c>
      <c r="D11" s="15">
        <f>(52/526)*I11</f>
        <v>2100.7604562737642</v>
      </c>
      <c r="E11" s="16">
        <f>(102/526)*I11</f>
        <v>4120.722433460076</v>
      </c>
      <c r="F11" s="17">
        <f t="shared" ref="F11:F13" si="2">(124/526)*I11</f>
        <v>5009.5057034220526</v>
      </c>
      <c r="G11" s="12">
        <f>(59/526)*I11</f>
        <v>2383.555133079848</v>
      </c>
      <c r="H11" s="17">
        <f>(26/526)*I11</f>
        <v>1050.3802281368821</v>
      </c>
      <c r="I11" s="14">
        <v>21250</v>
      </c>
      <c r="J11" s="1"/>
      <c r="K11" s="1"/>
      <c r="L11" s="1"/>
      <c r="M11" s="1"/>
      <c r="P11" s="52"/>
    </row>
    <row r="12" spans="1:17" x14ac:dyDescent="0.2">
      <c r="A12" s="54" t="s">
        <v>36</v>
      </c>
      <c r="B12" s="15">
        <f t="shared" si="1"/>
        <v>3564.638783269962</v>
      </c>
      <c r="C12" s="8">
        <f>(88/526)*I12</f>
        <v>4182.5095057034214</v>
      </c>
      <c r="D12" s="15">
        <f>(52/526)*I12</f>
        <v>2471.4828897338402</v>
      </c>
      <c r="E12" s="16">
        <f>(102/526)*I12</f>
        <v>4847.9087452471485</v>
      </c>
      <c r="F12" s="17">
        <f t="shared" si="2"/>
        <v>5893.5361216730034</v>
      </c>
      <c r="G12" s="12">
        <f>(59/526)*I12</f>
        <v>2804.1825095057034</v>
      </c>
      <c r="H12" s="17">
        <f>(26/526)*I12</f>
        <v>1235.7414448669201</v>
      </c>
      <c r="I12" s="55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15">
        <f t="shared" si="1"/>
        <v>712.92775665399233</v>
      </c>
      <c r="C13" s="8">
        <f>(88/526)*I13</f>
        <v>836.50190114068437</v>
      </c>
      <c r="D13" s="15">
        <f>(52/526)*I13</f>
        <v>494.29657794676808</v>
      </c>
      <c r="E13" s="16">
        <f>(102/526)*I13</f>
        <v>969.58174904942962</v>
      </c>
      <c r="F13" s="17">
        <f t="shared" si="2"/>
        <v>1178.7072243346006</v>
      </c>
      <c r="G13" s="12">
        <f>(59/526)*I13</f>
        <v>560.83650190114065</v>
      </c>
      <c r="H13" s="17">
        <f>(26/526)*I13</f>
        <v>247.14828897338404</v>
      </c>
      <c r="I13" s="14">
        <v>5000</v>
      </c>
      <c r="J13" s="1"/>
      <c r="K13" s="1"/>
      <c r="L13" s="1"/>
      <c r="M13" s="1"/>
    </row>
    <row r="14" spans="1:17" x14ac:dyDescent="0.2">
      <c r="A14" s="18" t="s">
        <v>15</v>
      </c>
      <c r="B14" s="15">
        <f t="shared" ref="B14:H14" si="3">SUM(B9:B13)</f>
        <v>140720.02281368821</v>
      </c>
      <c r="C14" s="15">
        <f t="shared" si="3"/>
        <v>16647.946768060836</v>
      </c>
      <c r="D14" s="15">
        <f t="shared" si="3"/>
        <v>15233.695817490496</v>
      </c>
      <c r="E14" s="15">
        <f t="shared" si="3"/>
        <v>13127.711026615971</v>
      </c>
      <c r="F14" s="15">
        <f t="shared" si="3"/>
        <v>15522.197718631178</v>
      </c>
      <c r="G14" s="15">
        <f t="shared" si="3"/>
        <v>82992.577946768055</v>
      </c>
      <c r="H14" s="15">
        <f t="shared" si="3"/>
        <v>6881.8479087452479</v>
      </c>
      <c r="I14" s="12">
        <f>SUM(B14:H14)</f>
        <v>291125.99999999994</v>
      </c>
      <c r="J14" s="1"/>
      <c r="K14" s="1"/>
      <c r="L14" s="1"/>
      <c r="M14" s="1"/>
    </row>
    <row r="15" spans="1:17" x14ac:dyDescent="0.2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34">
        <f>(B14*22/75)</f>
        <v>41277.873358681871</v>
      </c>
      <c r="C16" s="34">
        <f>C14*22/88</f>
        <v>4161.986692015209</v>
      </c>
      <c r="D16" s="34">
        <f>D14*22/52</f>
        <v>6445.0251535536709</v>
      </c>
      <c r="E16" s="35" t="s">
        <v>20</v>
      </c>
      <c r="F16" s="34">
        <f>F14*22/124</f>
        <v>2753.9383049184348</v>
      </c>
      <c r="G16" s="36" t="s">
        <v>20</v>
      </c>
      <c r="H16" s="36" t="s">
        <v>20</v>
      </c>
      <c r="I16" s="36"/>
      <c r="J16" s="37">
        <f>SUM(B16:I16)/22</f>
        <v>2483.5828867804175</v>
      </c>
      <c r="K16" s="38">
        <f>J16/12</f>
        <v>206.9652405650348</v>
      </c>
      <c r="L16" s="38">
        <v>186.92849443567184</v>
      </c>
      <c r="M16" s="38">
        <v>199.06572070850294</v>
      </c>
      <c r="N16" s="49">
        <f>K16*6</f>
        <v>1241.7914433902088</v>
      </c>
      <c r="P16" s="49"/>
      <c r="Q16" s="49"/>
    </row>
    <row r="17" spans="1:18" x14ac:dyDescent="0.2">
      <c r="A17" s="23" t="s">
        <v>21</v>
      </c>
      <c r="B17" s="24">
        <f>(B14*15/75)</f>
        <v>28144.004562737642</v>
      </c>
      <c r="C17" s="24">
        <f>C14*15/88</f>
        <v>2837.7181991012785</v>
      </c>
      <c r="D17" s="24">
        <f>D14*15/52</f>
        <v>4394.335331968412</v>
      </c>
      <c r="E17" s="24">
        <f>E14*15/102</f>
        <v>1930.545739208231</v>
      </c>
      <c r="F17" s="24">
        <f>F14*15/124</f>
        <v>1877.6852078989327</v>
      </c>
      <c r="G17" s="25" t="s">
        <v>20</v>
      </c>
      <c r="H17" s="25" t="s">
        <v>20</v>
      </c>
      <c r="I17" s="25"/>
      <c r="J17" s="26">
        <f>SUM(B17:I17)/15</f>
        <v>2612.2859360609664</v>
      </c>
      <c r="K17" s="27">
        <f>J17/12</f>
        <v>217.69049467174719</v>
      </c>
      <c r="L17" s="27">
        <v>194.77781749823021</v>
      </c>
      <c r="M17" s="27">
        <v>207.11007178226581</v>
      </c>
      <c r="N17" s="49">
        <f>K17*6</f>
        <v>1306.1429680304832</v>
      </c>
      <c r="P17" s="49"/>
      <c r="Q17" s="49"/>
    </row>
    <row r="18" spans="1:18" x14ac:dyDescent="0.2">
      <c r="A18" s="28" t="s">
        <v>22</v>
      </c>
      <c r="B18" s="29">
        <f>B14*15/75</f>
        <v>28144.004562737642</v>
      </c>
      <c r="C18" s="29">
        <f>C14*15/88</f>
        <v>2837.7181991012785</v>
      </c>
      <c r="D18" s="29">
        <f>D14*15/52</f>
        <v>4394.335331968412</v>
      </c>
      <c r="E18" s="29">
        <f>E14*15/102</f>
        <v>1930.545739208231</v>
      </c>
      <c r="F18" s="29">
        <f>F14*15/124</f>
        <v>1877.6852078989327</v>
      </c>
      <c r="G18" s="30" t="s">
        <v>20</v>
      </c>
      <c r="H18" s="30" t="s">
        <v>20</v>
      </c>
      <c r="I18" s="30"/>
      <c r="J18" s="31">
        <f>SUM(B18:H18)/15</f>
        <v>2612.2859360609664</v>
      </c>
      <c r="K18" s="32">
        <f>J18/12</f>
        <v>217.69049467174719</v>
      </c>
      <c r="L18" s="32">
        <v>194.77781749823021</v>
      </c>
      <c r="M18" s="32">
        <v>207.11007178226581</v>
      </c>
      <c r="N18" s="49">
        <f>K18*6</f>
        <v>1306.1429680304832</v>
      </c>
      <c r="P18" s="49"/>
      <c r="Q18" s="49"/>
    </row>
    <row r="19" spans="1:18" x14ac:dyDescent="0.2">
      <c r="A19" s="33" t="s">
        <v>23</v>
      </c>
      <c r="B19" s="34">
        <f>B14*23/75</f>
        <v>43154.140329531052</v>
      </c>
      <c r="C19" s="35" t="s">
        <v>20</v>
      </c>
      <c r="D19" s="35" t="s">
        <v>20</v>
      </c>
      <c r="E19" s="34">
        <f>E14*23/102</f>
        <v>2960.170133452621</v>
      </c>
      <c r="F19" s="34">
        <f>F14*23/124</f>
        <v>2879.1173187783634</v>
      </c>
      <c r="G19" s="36" t="s">
        <v>20</v>
      </c>
      <c r="H19" s="35" t="s">
        <v>20</v>
      </c>
      <c r="I19" s="36"/>
      <c r="J19" s="37">
        <f>SUM(B19:H19)</f>
        <v>48993.427781762039</v>
      </c>
      <c r="K19" s="38">
        <f>J19/12</f>
        <v>4082.78564848017</v>
      </c>
      <c r="L19" s="38">
        <v>3539.3895110840035</v>
      </c>
      <c r="M19" s="38">
        <v>3809.9548007590129</v>
      </c>
      <c r="N19" s="49">
        <f>K19*6</f>
        <v>24496.713890881019</v>
      </c>
      <c r="P19" s="49"/>
      <c r="Q19" s="49"/>
      <c r="R19" s="49"/>
    </row>
    <row r="20" spans="1:18" x14ac:dyDescent="0.2">
      <c r="A20" s="22"/>
      <c r="B20" s="39"/>
      <c r="C20" s="39"/>
      <c r="D20" s="39"/>
      <c r="E20" s="40"/>
      <c r="F20" s="40"/>
      <c r="G20" s="21"/>
      <c r="H20" s="21"/>
      <c r="I20" s="21"/>
      <c r="J20" s="41"/>
      <c r="K20" s="42"/>
      <c r="L20" s="42"/>
      <c r="M20" s="42"/>
      <c r="P20" s="49"/>
    </row>
    <row r="21" spans="1:18" x14ac:dyDescent="0.2">
      <c r="A21" s="43" t="s">
        <v>24</v>
      </c>
      <c r="B21" s="44" t="s">
        <v>20</v>
      </c>
      <c r="C21" s="44" t="s">
        <v>20</v>
      </c>
      <c r="D21" s="44" t="s">
        <v>20</v>
      </c>
      <c r="E21" s="45">
        <f>E14*23/102</f>
        <v>2960.170133452621</v>
      </c>
      <c r="F21" s="45">
        <f>F14*23/124</f>
        <v>2879.1173187783634</v>
      </c>
      <c r="G21" s="45">
        <f>G14*23/59</f>
        <v>32353.038860604494</v>
      </c>
      <c r="H21" s="46" t="s">
        <v>20</v>
      </c>
      <c r="I21" s="46"/>
      <c r="J21" s="47">
        <f>SUM(B21:H21)</f>
        <v>38192.326312835481</v>
      </c>
      <c r="K21" s="48">
        <f>J21/12</f>
        <v>3182.6938594029566</v>
      </c>
      <c r="L21" s="48">
        <v>2750.5218113261344</v>
      </c>
      <c r="M21" s="48">
        <v>2842.3066221203262</v>
      </c>
      <c r="N21" s="49">
        <f>K21*6</f>
        <v>19096.163156417741</v>
      </c>
      <c r="P21" s="49"/>
      <c r="Q21" s="49"/>
      <c r="R21" s="49"/>
    </row>
    <row r="22" spans="1:18" x14ac:dyDescent="0.2">
      <c r="A22" s="22" t="s">
        <v>25</v>
      </c>
      <c r="B22" s="39" t="s">
        <v>20</v>
      </c>
      <c r="C22" s="40">
        <f>C14*26/88</f>
        <v>4918.7115451088839</v>
      </c>
      <c r="D22" s="39" t="s">
        <v>20</v>
      </c>
      <c r="E22" s="40">
        <f>E14*26/102</f>
        <v>3346.2792812942671</v>
      </c>
      <c r="F22" s="40">
        <f>F14*26/124</f>
        <v>3254.6543603581504</v>
      </c>
      <c r="G22" s="40">
        <f>G14*26/59</f>
        <v>36573.000451118125</v>
      </c>
      <c r="H22" s="40">
        <f>H14*26/26</f>
        <v>6881.8479087452479</v>
      </c>
      <c r="I22" s="21"/>
      <c r="J22" s="47">
        <f>SUM(B22:H22)/26</f>
        <v>2114.4035979471028</v>
      </c>
      <c r="K22" s="42">
        <f>J22/12</f>
        <v>176.20029982892524</v>
      </c>
      <c r="L22" s="42">
        <v>170.34414859651045</v>
      </c>
      <c r="M22" s="42">
        <v>175.11281660335808</v>
      </c>
      <c r="N22" s="49">
        <f>K22*6</f>
        <v>1057.2017989735514</v>
      </c>
      <c r="O22" s="49"/>
      <c r="P22" s="49"/>
      <c r="Q22" s="49"/>
    </row>
    <row r="23" spans="1:18" x14ac:dyDescent="0.2">
      <c r="A23" s="43" t="s">
        <v>26</v>
      </c>
      <c r="B23" s="44" t="s">
        <v>20</v>
      </c>
      <c r="C23" s="45">
        <f>C14*10/88</f>
        <v>1891.812132734186</v>
      </c>
      <c r="D23" s="44" t="s">
        <v>20</v>
      </c>
      <c r="E23" s="44" t="s">
        <v>20</v>
      </c>
      <c r="F23" s="44" t="s">
        <v>20</v>
      </c>
      <c r="G23" s="45">
        <f>G14*10/59</f>
        <v>14066.538635045432</v>
      </c>
      <c r="H23" s="44" t="s">
        <v>20</v>
      </c>
      <c r="I23" s="46"/>
      <c r="J23" s="47">
        <f>SUM(B23:H23)</f>
        <v>15958.350767779619</v>
      </c>
      <c r="K23" s="48">
        <f>J23/12</f>
        <v>1329.8625639816348</v>
      </c>
      <c r="L23" s="48">
        <v>1188.9984591679508</v>
      </c>
      <c r="M23" s="48">
        <v>1226.9859078068828</v>
      </c>
      <c r="N23" s="49">
        <f>K23*6</f>
        <v>7979.1753838898094</v>
      </c>
      <c r="P23" s="49"/>
      <c r="Q23" s="49"/>
    </row>
    <row r="24" spans="1:18" hidden="1" x14ac:dyDescent="0.2">
      <c r="A24" s="43"/>
      <c r="B24" s="44">
        <v>75</v>
      </c>
      <c r="C24" s="45">
        <v>88</v>
      </c>
      <c r="D24" s="44">
        <v>52</v>
      </c>
      <c r="E24" s="44">
        <v>102</v>
      </c>
      <c r="F24" s="44">
        <v>124</v>
      </c>
      <c r="G24" s="45">
        <v>59</v>
      </c>
      <c r="H24" s="44">
        <v>26</v>
      </c>
      <c r="I24" s="46"/>
      <c r="J24" s="47">
        <f>SUM(B24:I24)</f>
        <v>526</v>
      </c>
      <c r="K24" s="48"/>
      <c r="L24" s="48"/>
      <c r="M24" s="48"/>
      <c r="N24" s="49"/>
      <c r="P24" s="49"/>
      <c r="Q24" s="49"/>
    </row>
    <row r="25" spans="1:18" hidden="1" x14ac:dyDescent="0.2">
      <c r="A25" s="43"/>
      <c r="B25" s="56">
        <f t="shared" ref="B25:H25" si="4">B24/$J24</f>
        <v>0.14258555133079848</v>
      </c>
      <c r="C25" s="56">
        <f t="shared" si="4"/>
        <v>0.16730038022813687</v>
      </c>
      <c r="D25" s="56">
        <f t="shared" si="4"/>
        <v>9.8859315589353611E-2</v>
      </c>
      <c r="E25" s="56">
        <f t="shared" si="4"/>
        <v>0.19391634980988592</v>
      </c>
      <c r="F25" s="56">
        <f t="shared" si="4"/>
        <v>0.23574144486692014</v>
      </c>
      <c r="G25" s="56">
        <f t="shared" si="4"/>
        <v>0.11216730038022814</v>
      </c>
      <c r="H25" s="56">
        <f t="shared" si="4"/>
        <v>4.9429657794676805E-2</v>
      </c>
      <c r="I25" s="46"/>
      <c r="J25" s="47"/>
      <c r="K25" s="48"/>
      <c r="L25" s="48"/>
      <c r="M25" s="48"/>
      <c r="N25" s="49"/>
      <c r="P25" s="49"/>
      <c r="Q25" s="49"/>
    </row>
    <row r="26" spans="1:18" hidden="1" x14ac:dyDescent="0.2">
      <c r="A26" s="43"/>
      <c r="B26" s="44"/>
      <c r="C26" s="45"/>
      <c r="D26" s="44"/>
      <c r="E26" s="44"/>
      <c r="F26" s="44"/>
      <c r="G26" s="45"/>
      <c r="H26" s="44"/>
      <c r="I26" s="46"/>
      <c r="J26" s="47"/>
      <c r="K26" s="48"/>
      <c r="L26" s="48"/>
      <c r="M26" s="48"/>
      <c r="N26" s="49"/>
      <c r="P26" s="49"/>
      <c r="Q26" s="49"/>
    </row>
    <row r="27" spans="1:18" x14ac:dyDescent="0.2">
      <c r="B27" s="50"/>
      <c r="C27" s="50"/>
      <c r="D27" s="50"/>
      <c r="E27" s="50"/>
      <c r="F27" s="50"/>
      <c r="G27" s="50"/>
      <c r="H27" s="50"/>
      <c r="I27" s="50"/>
    </row>
    <row r="28" spans="1:18" x14ac:dyDescent="0.2">
      <c r="A28" t="s">
        <v>27</v>
      </c>
      <c r="D28" s="51"/>
      <c r="E28" s="51"/>
      <c r="F28" s="51"/>
      <c r="G28" s="51"/>
      <c r="H28" s="51"/>
      <c r="I28" s="51"/>
    </row>
    <row r="29" spans="1:18" x14ac:dyDescent="0.2">
      <c r="A29" t="s">
        <v>28</v>
      </c>
      <c r="D29" s="51"/>
      <c r="E29" s="51"/>
      <c r="F29" s="51"/>
      <c r="G29" s="51"/>
      <c r="H29" s="51"/>
      <c r="I29" s="51"/>
    </row>
    <row r="30" spans="1:18" x14ac:dyDescent="0.2">
      <c r="A30" t="s">
        <v>29</v>
      </c>
      <c r="D30" s="51"/>
      <c r="E30" s="51"/>
      <c r="F30" s="51"/>
      <c r="G30" s="51"/>
      <c r="H30" s="51"/>
      <c r="I30" s="51"/>
      <c r="J30" s="52"/>
    </row>
    <row r="31" spans="1:18" x14ac:dyDescent="0.2">
      <c r="A31" t="s">
        <v>30</v>
      </c>
      <c r="D31" s="51"/>
      <c r="E31" s="51"/>
      <c r="F31" s="51"/>
      <c r="G31" s="51"/>
      <c r="H31" s="51"/>
      <c r="I31" s="51"/>
    </row>
    <row r="32" spans="1:18" x14ac:dyDescent="0.2">
      <c r="A32" t="s">
        <v>31</v>
      </c>
      <c r="D32" s="51"/>
      <c r="E32" s="51"/>
      <c r="F32" s="51"/>
      <c r="G32" s="51"/>
      <c r="H32" s="51"/>
      <c r="I32" s="51"/>
    </row>
    <row r="33" spans="1:9" x14ac:dyDescent="0.2">
      <c r="A33" t="s">
        <v>32</v>
      </c>
      <c r="D33" s="51"/>
      <c r="E33" s="51"/>
      <c r="F33" s="51"/>
      <c r="G33" s="51"/>
      <c r="H33" s="51"/>
      <c r="I33" s="51"/>
    </row>
    <row r="34" spans="1:9" x14ac:dyDescent="0.2">
      <c r="A34" t="s">
        <v>33</v>
      </c>
      <c r="D34" s="51"/>
      <c r="E34" s="51"/>
      <c r="F34" s="51"/>
      <c r="G34" s="51"/>
      <c r="H34" s="51"/>
      <c r="I34" s="51"/>
    </row>
    <row r="35" spans="1:9" x14ac:dyDescent="0.2">
      <c r="A35" s="53" t="s">
        <v>34</v>
      </c>
      <c r="B35" s="53"/>
      <c r="C35" s="53"/>
      <c r="D35" s="53"/>
    </row>
    <row r="36" spans="1:9" x14ac:dyDescent="0.2">
      <c r="I36" s="51"/>
    </row>
    <row r="38" spans="1:9" x14ac:dyDescent="0.2">
      <c r="I38" s="51"/>
    </row>
    <row r="40" spans="1:9" x14ac:dyDescent="0.2">
      <c r="I40" s="51"/>
    </row>
    <row r="42" spans="1:9" x14ac:dyDescent="0.2">
      <c r="I42" s="51"/>
    </row>
    <row r="43" spans="1:9" x14ac:dyDescent="0.2">
      <c r="G43" s="52"/>
    </row>
    <row r="44" spans="1:9" x14ac:dyDescent="0.2">
      <c r="I44" s="51"/>
    </row>
    <row r="46" spans="1:9" x14ac:dyDescent="0.2">
      <c r="I46" s="51"/>
    </row>
    <row r="48" spans="1:9" x14ac:dyDescent="0.2">
      <c r="I48" s="51"/>
    </row>
    <row r="50" spans="9:9" x14ac:dyDescent="0.2">
      <c r="I50" s="51"/>
    </row>
    <row r="52" spans="9:9" x14ac:dyDescent="0.2">
      <c r="I52" s="51"/>
    </row>
    <row r="54" spans="9:9" x14ac:dyDescent="0.2">
      <c r="I54" s="51"/>
    </row>
    <row r="56" spans="9:9" x14ac:dyDescent="0.2">
      <c r="I56" s="51"/>
    </row>
    <row r="58" spans="9:9" x14ac:dyDescent="0.2">
      <c r="I58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B11" sqref="B11"/>
    </sheetView>
  </sheetViews>
  <sheetFormatPr defaultRowHeight="12.75" x14ac:dyDescent="0.2"/>
  <cols>
    <col min="1" max="1" width="30.140625" customWidth="1"/>
    <col min="2" max="2" width="12.28515625" bestFit="1" customWidth="1"/>
    <col min="3" max="7" width="10.5703125" bestFit="1" customWidth="1"/>
    <col min="8" max="9" width="9.5703125" bestFit="1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15">
        <f>26490+18000+15000</f>
        <v>59490</v>
      </c>
      <c r="C2" s="8">
        <v>2207</v>
      </c>
      <c r="D2" s="9">
        <v>0</v>
      </c>
      <c r="E2" s="10">
        <v>0</v>
      </c>
      <c r="F2" s="11">
        <v>0</v>
      </c>
      <c r="G2" s="12">
        <f>15453+12000+10000</f>
        <v>37453</v>
      </c>
      <c r="H2" s="11">
        <v>0</v>
      </c>
      <c r="I2" s="1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9">
        <v>13000</v>
      </c>
      <c r="C3" s="13">
        <v>0</v>
      </c>
      <c r="D3" s="9">
        <v>0</v>
      </c>
      <c r="E3" s="10">
        <v>0</v>
      </c>
      <c r="F3" s="11">
        <v>0</v>
      </c>
      <c r="G3" s="14">
        <v>10000</v>
      </c>
      <c r="H3" s="11">
        <v>0</v>
      </c>
      <c r="I3" s="14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9">
        <v>15500</v>
      </c>
      <c r="C4" s="13"/>
      <c r="D4" s="9"/>
      <c r="E4" s="10"/>
      <c r="F4" s="11"/>
      <c r="G4" s="14">
        <v>10000</v>
      </c>
      <c r="H4" s="11"/>
      <c r="I4" s="14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9">
        <v>0</v>
      </c>
      <c r="C5" s="13">
        <v>0</v>
      </c>
      <c r="D5" s="15">
        <f>(2039*4)</f>
        <v>8156</v>
      </c>
      <c r="E5" s="10">
        <v>0</v>
      </c>
      <c r="F5" s="11">
        <v>0</v>
      </c>
      <c r="G5" s="14">
        <v>0</v>
      </c>
      <c r="H5" s="11">
        <v>0</v>
      </c>
      <c r="I5" s="1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9">
        <v>34567</v>
      </c>
      <c r="C6" s="13">
        <v>4863</v>
      </c>
      <c r="D6" s="9">
        <v>1418</v>
      </c>
      <c r="E6" s="10">
        <v>2026</v>
      </c>
      <c r="F6" s="11">
        <v>2026</v>
      </c>
      <c r="G6" s="14">
        <v>9118</v>
      </c>
      <c r="H6" s="11">
        <v>4052</v>
      </c>
      <c r="I6" s="14">
        <f>SUM(B6:H6)</f>
        <v>58070</v>
      </c>
      <c r="J6" s="1"/>
      <c r="K6" s="1"/>
      <c r="L6" s="1"/>
      <c r="M6" s="1"/>
    </row>
    <row r="7" spans="1:17" x14ac:dyDescent="0.2">
      <c r="A7" s="1" t="s">
        <v>12</v>
      </c>
      <c r="B7" s="15">
        <f>QUOTIENT(I7,7)</f>
        <v>857</v>
      </c>
      <c r="C7" s="8">
        <f>I7/7</f>
        <v>857.14285714285711</v>
      </c>
      <c r="D7" s="15">
        <f>I7/7</f>
        <v>857.14285714285711</v>
      </c>
      <c r="E7" s="16">
        <f>I7/7</f>
        <v>857.14285714285711</v>
      </c>
      <c r="F7" s="17">
        <f>I7/7</f>
        <v>857.14285714285711</v>
      </c>
      <c r="G7" s="12">
        <f>I7/7</f>
        <v>857.14285714285711</v>
      </c>
      <c r="H7" s="17">
        <f>QUOTIENT(I7,7)</f>
        <v>857</v>
      </c>
      <c r="I7" s="14">
        <v>6000</v>
      </c>
      <c r="J7" s="1"/>
      <c r="K7" s="1"/>
      <c r="L7" s="1"/>
      <c r="M7" s="1"/>
    </row>
    <row r="8" spans="1:17" hidden="1" x14ac:dyDescent="0.2">
      <c r="A8" s="1" t="s">
        <v>13</v>
      </c>
      <c r="B8" s="15">
        <v>0</v>
      </c>
      <c r="C8" s="8">
        <v>0</v>
      </c>
      <c r="D8" s="15">
        <v>0</v>
      </c>
      <c r="E8" s="16">
        <v>0</v>
      </c>
      <c r="F8" s="17">
        <v>0</v>
      </c>
      <c r="G8" s="12">
        <v>0</v>
      </c>
      <c r="H8" s="17">
        <v>0</v>
      </c>
      <c r="I8" s="14"/>
      <c r="J8" s="1"/>
      <c r="K8" s="1"/>
      <c r="L8" s="1"/>
      <c r="M8" s="1"/>
    </row>
    <row r="9" spans="1:17" x14ac:dyDescent="0.2">
      <c r="A9" s="1" t="s">
        <v>14</v>
      </c>
      <c r="B9" s="9">
        <v>10000</v>
      </c>
      <c r="C9" s="13">
        <v>0</v>
      </c>
      <c r="D9" s="9">
        <v>0</v>
      </c>
      <c r="E9" s="10">
        <v>0</v>
      </c>
      <c r="F9" s="11">
        <v>0</v>
      </c>
      <c r="G9" s="14">
        <v>10000</v>
      </c>
      <c r="H9" s="11">
        <v>0</v>
      </c>
      <c r="I9" s="12">
        <f>SUM(B9:H9)</f>
        <v>20000</v>
      </c>
      <c r="J9" s="1"/>
      <c r="K9" s="1"/>
      <c r="L9" s="1"/>
      <c r="M9" s="1"/>
    </row>
    <row r="10" spans="1:17" x14ac:dyDescent="0.2">
      <c r="A10" s="18" t="s">
        <v>15</v>
      </c>
      <c r="B10" s="15">
        <f>SUM(B2:B9)</f>
        <v>133414</v>
      </c>
      <c r="C10" s="8">
        <f t="shared" ref="C10:H10" si="0">SUM(C2:C9)</f>
        <v>7927.1428571428569</v>
      </c>
      <c r="D10" s="15">
        <f t="shared" si="0"/>
        <v>10431.142857142857</v>
      </c>
      <c r="E10" s="16">
        <f t="shared" si="0"/>
        <v>2883.1428571428569</v>
      </c>
      <c r="F10" s="17">
        <f t="shared" si="0"/>
        <v>2883.1428571428569</v>
      </c>
      <c r="G10" s="12">
        <f>SUM(G2:G9)</f>
        <v>77428.142857142855</v>
      </c>
      <c r="H10" s="11">
        <f t="shared" si="0"/>
        <v>4909</v>
      </c>
      <c r="I10" s="12">
        <f>SUM(B10:H10)</f>
        <v>239875.71428571432</v>
      </c>
      <c r="J10" s="1"/>
      <c r="K10" s="1"/>
      <c r="L10" s="1"/>
      <c r="M10" s="1"/>
    </row>
    <row r="11" spans="1:17" x14ac:dyDescent="0.2">
      <c r="A11" s="1" t="s">
        <v>35</v>
      </c>
      <c r="B11" s="15">
        <f t="shared" ref="B11:H13" si="1">$I11/7</f>
        <v>3035.7142857142858</v>
      </c>
      <c r="C11" s="8">
        <f t="shared" si="1"/>
        <v>3035.7142857142858</v>
      </c>
      <c r="D11" s="15">
        <f t="shared" si="1"/>
        <v>3035.7142857142858</v>
      </c>
      <c r="E11" s="16">
        <f t="shared" si="1"/>
        <v>3035.7142857142858</v>
      </c>
      <c r="F11" s="17">
        <f t="shared" si="1"/>
        <v>3035.7142857142858</v>
      </c>
      <c r="G11" s="19">
        <f t="shared" si="1"/>
        <v>3035.7142857142858</v>
      </c>
      <c r="H11" s="17">
        <f t="shared" si="1"/>
        <v>3035.7142857142858</v>
      </c>
      <c r="I11" s="14">
        <v>21250</v>
      </c>
      <c r="J11" s="1"/>
      <c r="K11" s="1"/>
      <c r="L11" s="1"/>
      <c r="M11" s="1"/>
    </row>
    <row r="12" spans="1:17" x14ac:dyDescent="0.2">
      <c r="A12" s="54" t="s">
        <v>36</v>
      </c>
      <c r="B12" s="15">
        <f t="shared" si="1"/>
        <v>3571.4285714285716</v>
      </c>
      <c r="C12" s="8">
        <f t="shared" si="1"/>
        <v>3571.4285714285716</v>
      </c>
      <c r="D12" s="15">
        <f t="shared" si="1"/>
        <v>3571.4285714285716</v>
      </c>
      <c r="E12" s="16">
        <f t="shared" si="1"/>
        <v>3571.4285714285716</v>
      </c>
      <c r="F12" s="17">
        <f t="shared" si="1"/>
        <v>3571.4285714285716</v>
      </c>
      <c r="G12" s="19">
        <f t="shared" si="1"/>
        <v>3571.4285714285716</v>
      </c>
      <c r="H12" s="17">
        <f t="shared" si="1"/>
        <v>3571.4285714285716</v>
      </c>
      <c r="I12" s="55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15">
        <f t="shared" si="1"/>
        <v>714.28571428571433</v>
      </c>
      <c r="C13" s="8">
        <f t="shared" si="1"/>
        <v>714.28571428571433</v>
      </c>
      <c r="D13" s="15">
        <f t="shared" si="1"/>
        <v>714.28571428571433</v>
      </c>
      <c r="E13" s="16">
        <f t="shared" si="1"/>
        <v>714.28571428571433</v>
      </c>
      <c r="F13" s="17">
        <f t="shared" si="1"/>
        <v>714.28571428571433</v>
      </c>
      <c r="G13" s="19">
        <f t="shared" si="1"/>
        <v>714.28571428571433</v>
      </c>
      <c r="H13" s="17">
        <f t="shared" si="1"/>
        <v>714.28571428571433</v>
      </c>
      <c r="I13" s="14">
        <v>5000</v>
      </c>
      <c r="J13" s="1"/>
      <c r="K13" s="1"/>
      <c r="L13" s="1"/>
      <c r="M13" s="1"/>
    </row>
    <row r="14" spans="1:17" x14ac:dyDescent="0.2">
      <c r="A14" s="18" t="s">
        <v>15</v>
      </c>
      <c r="B14" s="15">
        <f t="shared" ref="B14:H14" si="2">SUM(B10:B13)</f>
        <v>140735.42857142858</v>
      </c>
      <c r="C14" s="15">
        <f t="shared" si="2"/>
        <v>15248.571428571428</v>
      </c>
      <c r="D14" s="15">
        <f t="shared" si="2"/>
        <v>17752.571428571428</v>
      </c>
      <c r="E14" s="15">
        <f t="shared" si="2"/>
        <v>10204.571428571428</v>
      </c>
      <c r="F14" s="15">
        <f t="shared" si="2"/>
        <v>10204.571428571428</v>
      </c>
      <c r="G14" s="15">
        <f t="shared" si="2"/>
        <v>84749.57142857142</v>
      </c>
      <c r="H14" s="15">
        <f t="shared" si="2"/>
        <v>12230.428571428572</v>
      </c>
      <c r="I14" s="12">
        <f>SUM(B14:H14)</f>
        <v>291125.71428571426</v>
      </c>
      <c r="J14" s="1"/>
      <c r="K14" s="1"/>
      <c r="L14" s="1"/>
      <c r="M14" s="1"/>
    </row>
    <row r="15" spans="1:17" x14ac:dyDescent="0.2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34">
        <f>(B14*22/75)</f>
        <v>41282.392380952384</v>
      </c>
      <c r="C16" s="34">
        <f>C14*22/88</f>
        <v>3812.1428571428569</v>
      </c>
      <c r="D16" s="34">
        <f>D14*22/52</f>
        <v>7510.7032967032965</v>
      </c>
      <c r="E16" s="35" t="s">
        <v>20</v>
      </c>
      <c r="F16" s="34">
        <f>F14*22/124</f>
        <v>1810.4884792626729</v>
      </c>
      <c r="G16" s="36" t="s">
        <v>20</v>
      </c>
      <c r="H16" s="36" t="s">
        <v>20</v>
      </c>
      <c r="I16" s="36"/>
      <c r="J16" s="37">
        <f>SUM(B16:I16)/22</f>
        <v>2473.4421370027821</v>
      </c>
      <c r="K16" s="38">
        <f>J16/12</f>
        <v>206.12017808356518</v>
      </c>
      <c r="L16" s="38">
        <v>186.92849443567184</v>
      </c>
      <c r="M16" s="38">
        <v>199.06572070850294</v>
      </c>
      <c r="N16" s="49">
        <f>K16*6</f>
        <v>1236.7210685013911</v>
      </c>
      <c r="P16" s="49"/>
      <c r="Q16" s="49"/>
    </row>
    <row r="17" spans="1:18" x14ac:dyDescent="0.2">
      <c r="A17" s="23" t="s">
        <v>21</v>
      </c>
      <c r="B17" s="24">
        <f>(B14*15/75)</f>
        <v>28147.085714285717</v>
      </c>
      <c r="C17" s="24">
        <f>C14*15/88</f>
        <v>2599.1883116883114</v>
      </c>
      <c r="D17" s="24">
        <f>D14*15/52</f>
        <v>5120.934065934066</v>
      </c>
      <c r="E17" s="24">
        <f>E14*15/102</f>
        <v>1500.672268907563</v>
      </c>
      <c r="F17" s="24">
        <f>F14*15/124</f>
        <v>1234.4239631336404</v>
      </c>
      <c r="G17" s="25" t="s">
        <v>20</v>
      </c>
      <c r="H17" s="25" t="s">
        <v>20</v>
      </c>
      <c r="I17" s="25"/>
      <c r="J17" s="26">
        <f>SUM(B17:I17)/15</f>
        <v>2573.4869549299528</v>
      </c>
      <c r="K17" s="27">
        <f>J17/12</f>
        <v>214.45724624416275</v>
      </c>
      <c r="L17" s="27">
        <v>194.77781749823021</v>
      </c>
      <c r="M17" s="27">
        <v>207.11007178226581</v>
      </c>
      <c r="N17" s="49">
        <f>K17*6</f>
        <v>1286.7434774649764</v>
      </c>
      <c r="P17" s="49"/>
      <c r="Q17" s="49"/>
    </row>
    <row r="18" spans="1:18" x14ac:dyDescent="0.2">
      <c r="A18" s="28" t="s">
        <v>22</v>
      </c>
      <c r="B18" s="29">
        <f>B14*15/75</f>
        <v>28147.085714285717</v>
      </c>
      <c r="C18" s="29">
        <f>C14*15/88</f>
        <v>2599.1883116883114</v>
      </c>
      <c r="D18" s="29">
        <f>D14*15/52</f>
        <v>5120.934065934066</v>
      </c>
      <c r="E18" s="29">
        <f>E14*15/102</f>
        <v>1500.672268907563</v>
      </c>
      <c r="F18" s="29">
        <f>F14*15/124</f>
        <v>1234.4239631336404</v>
      </c>
      <c r="G18" s="30" t="s">
        <v>20</v>
      </c>
      <c r="H18" s="30" t="s">
        <v>20</v>
      </c>
      <c r="I18" s="30"/>
      <c r="J18" s="31">
        <f>SUM(B18:H18)/15</f>
        <v>2573.4869549299528</v>
      </c>
      <c r="K18" s="32">
        <f>J18/12</f>
        <v>214.45724624416275</v>
      </c>
      <c r="L18" s="32">
        <v>194.77781749823021</v>
      </c>
      <c r="M18" s="32">
        <v>207.11007178226581</v>
      </c>
      <c r="N18" s="49">
        <f>K18*6</f>
        <v>1286.7434774649764</v>
      </c>
      <c r="P18" s="49"/>
      <c r="Q18" s="49"/>
    </row>
    <row r="19" spans="1:18" x14ac:dyDescent="0.2">
      <c r="A19" s="33" t="s">
        <v>23</v>
      </c>
      <c r="B19" s="34">
        <f>B14*23/75</f>
        <v>43158.864761904762</v>
      </c>
      <c r="C19" s="35" t="s">
        <v>20</v>
      </c>
      <c r="D19" s="35" t="s">
        <v>20</v>
      </c>
      <c r="E19" s="34">
        <f>E14*23/102</f>
        <v>2301.0308123249297</v>
      </c>
      <c r="F19" s="34">
        <f>F14*23/124</f>
        <v>1892.7834101382487</v>
      </c>
      <c r="G19" s="36" t="s">
        <v>20</v>
      </c>
      <c r="H19" s="35" t="s">
        <v>20</v>
      </c>
      <c r="I19" s="36"/>
      <c r="J19" s="37">
        <f>SUM(B19:H19)</f>
        <v>47352.678984367936</v>
      </c>
      <c r="K19" s="38">
        <f>J19/12</f>
        <v>3946.0565820306615</v>
      </c>
      <c r="L19" s="38">
        <v>3539.3895110840035</v>
      </c>
      <c r="M19" s="38">
        <v>3809.9548007590129</v>
      </c>
      <c r="N19" s="49">
        <f>K19*6</f>
        <v>23676.339492183968</v>
      </c>
      <c r="O19" s="52"/>
      <c r="P19" s="49"/>
      <c r="Q19" s="49"/>
      <c r="R19" s="49"/>
    </row>
    <row r="20" spans="1:18" x14ac:dyDescent="0.2">
      <c r="A20" s="22"/>
      <c r="B20" s="39"/>
      <c r="C20" s="39"/>
      <c r="D20" s="39"/>
      <c r="E20" s="40"/>
      <c r="F20" s="40"/>
      <c r="G20" s="21"/>
      <c r="H20" s="21"/>
      <c r="I20" s="21"/>
      <c r="J20" s="41"/>
      <c r="K20" s="42"/>
      <c r="L20" s="42"/>
      <c r="M20" s="42"/>
      <c r="P20" s="49"/>
    </row>
    <row r="21" spans="1:18" x14ac:dyDescent="0.2">
      <c r="A21" s="43" t="s">
        <v>24</v>
      </c>
      <c r="B21" s="44" t="s">
        <v>20</v>
      </c>
      <c r="C21" s="44" t="s">
        <v>20</v>
      </c>
      <c r="D21" s="44" t="s">
        <v>20</v>
      </c>
      <c r="E21" s="45">
        <f>E14*23/102</f>
        <v>2301.0308123249297</v>
      </c>
      <c r="F21" s="45">
        <f>F14*23/124</f>
        <v>1892.7834101382487</v>
      </c>
      <c r="G21" s="45">
        <f>G14*23/59</f>
        <v>33037.968523002419</v>
      </c>
      <c r="H21" s="46" t="s">
        <v>20</v>
      </c>
      <c r="I21" s="46"/>
      <c r="J21" s="47">
        <f>SUM(B21:H21)</f>
        <v>37231.7827454656</v>
      </c>
      <c r="K21" s="48">
        <f>J21/12</f>
        <v>3102.6485621221332</v>
      </c>
      <c r="L21" s="48">
        <v>2750.5218113261344</v>
      </c>
      <c r="M21" s="48">
        <v>2842.3066221203262</v>
      </c>
      <c r="N21" s="49">
        <f>K21*6</f>
        <v>18615.8913727328</v>
      </c>
      <c r="O21" s="52"/>
      <c r="P21" s="49"/>
      <c r="Q21" s="49"/>
      <c r="R21" s="49"/>
    </row>
    <row r="22" spans="1:18" x14ac:dyDescent="0.2">
      <c r="A22" s="22" t="s">
        <v>25</v>
      </c>
      <c r="B22" s="39" t="s">
        <v>20</v>
      </c>
      <c r="C22" s="40">
        <f>C14*26/88</f>
        <v>4505.2597402597394</v>
      </c>
      <c r="D22" s="39" t="s">
        <v>20</v>
      </c>
      <c r="E22" s="40">
        <f>E14*26/102</f>
        <v>2601.1652661064422</v>
      </c>
      <c r="F22" s="40">
        <f>F14*26/124</f>
        <v>2139.6682027649767</v>
      </c>
      <c r="G22" s="40">
        <f>G14*26/59</f>
        <v>37347.268765133165</v>
      </c>
      <c r="H22" s="40">
        <f>H14*26/26</f>
        <v>12230.428571428572</v>
      </c>
      <c r="I22" s="21"/>
      <c r="J22" s="47">
        <f>SUM(B22:H22)/26</f>
        <v>2262.4534825266496</v>
      </c>
      <c r="K22" s="42">
        <f>J22/12</f>
        <v>188.53779021055414</v>
      </c>
      <c r="L22" s="42">
        <v>170.34414859651045</v>
      </c>
      <c r="M22" s="42">
        <v>175.11281660335808</v>
      </c>
      <c r="N22" s="49">
        <f>K22*6</f>
        <v>1131.2267412633248</v>
      </c>
      <c r="O22" s="49"/>
      <c r="P22" s="49"/>
      <c r="Q22" s="49"/>
    </row>
    <row r="23" spans="1:18" x14ac:dyDescent="0.2">
      <c r="A23" s="43" t="s">
        <v>26</v>
      </c>
      <c r="B23" s="44" t="s">
        <v>20</v>
      </c>
      <c r="C23" s="45">
        <f>C14*10/88</f>
        <v>1732.7922077922076</v>
      </c>
      <c r="D23" s="44" t="s">
        <v>20</v>
      </c>
      <c r="E23" s="44" t="s">
        <v>20</v>
      </c>
      <c r="F23" s="44" t="s">
        <v>20</v>
      </c>
      <c r="G23" s="45">
        <f>G14*10/59</f>
        <v>14364.334140435834</v>
      </c>
      <c r="H23" s="44" t="s">
        <v>20</v>
      </c>
      <c r="I23" s="46"/>
      <c r="J23" s="47">
        <f>SUM(B23:H23)</f>
        <v>16097.126348228041</v>
      </c>
      <c r="K23" s="48">
        <f>J23/12</f>
        <v>1341.4271956856701</v>
      </c>
      <c r="L23" s="48">
        <v>1188.9984591679508</v>
      </c>
      <c r="M23" s="48">
        <v>1226.9859078068828</v>
      </c>
      <c r="N23" s="49">
        <f>K23*6</f>
        <v>8048.5631741140205</v>
      </c>
      <c r="O23" s="52"/>
      <c r="P23" s="49"/>
      <c r="Q23" s="49"/>
    </row>
    <row r="24" spans="1:18" x14ac:dyDescent="0.2">
      <c r="B24" s="50"/>
      <c r="C24" s="50"/>
      <c r="D24" s="50"/>
      <c r="E24" s="50"/>
      <c r="F24" s="50"/>
      <c r="G24" s="50"/>
      <c r="H24" s="50"/>
      <c r="I24" s="50"/>
    </row>
    <row r="25" spans="1:18" x14ac:dyDescent="0.2">
      <c r="A25" t="s">
        <v>27</v>
      </c>
      <c r="D25" s="51"/>
      <c r="E25" s="51"/>
      <c r="F25" s="51"/>
      <c r="G25" s="51"/>
      <c r="H25" s="51"/>
      <c r="I25" s="51"/>
    </row>
    <row r="26" spans="1:18" x14ac:dyDescent="0.2">
      <c r="A26" t="s">
        <v>28</v>
      </c>
      <c r="D26" s="51"/>
      <c r="E26" s="51"/>
      <c r="F26" s="51"/>
      <c r="G26" s="51"/>
      <c r="H26" s="51"/>
      <c r="I26" s="51"/>
    </row>
    <row r="27" spans="1:18" x14ac:dyDescent="0.2">
      <c r="A27" t="s">
        <v>29</v>
      </c>
      <c r="D27" s="51"/>
      <c r="E27" s="51"/>
      <c r="F27" s="51"/>
      <c r="G27" s="51"/>
      <c r="H27" s="51"/>
      <c r="I27" s="51"/>
      <c r="J27" s="52"/>
    </row>
    <row r="28" spans="1:18" x14ac:dyDescent="0.2">
      <c r="A28" t="s">
        <v>30</v>
      </c>
      <c r="D28" s="51"/>
      <c r="E28" s="51"/>
      <c r="F28" s="51"/>
      <c r="G28" s="51"/>
      <c r="H28" s="51"/>
      <c r="I28" s="51"/>
    </row>
    <row r="29" spans="1:18" x14ac:dyDescent="0.2">
      <c r="A29" t="s">
        <v>31</v>
      </c>
      <c r="D29" s="51"/>
      <c r="E29" s="51"/>
      <c r="F29" s="51"/>
      <c r="G29" s="51"/>
      <c r="H29" s="51"/>
      <c r="I29" s="51"/>
    </row>
    <row r="30" spans="1:18" x14ac:dyDescent="0.2">
      <c r="A30" t="s">
        <v>32</v>
      </c>
      <c r="D30" s="51"/>
      <c r="E30" s="51"/>
      <c r="F30" s="51"/>
      <c r="G30" s="51"/>
      <c r="H30" s="51"/>
      <c r="I30" s="51"/>
    </row>
    <row r="31" spans="1:18" x14ac:dyDescent="0.2">
      <c r="A31" t="s">
        <v>33</v>
      </c>
      <c r="D31" s="51"/>
      <c r="E31" s="51"/>
      <c r="F31" s="51"/>
      <c r="G31" s="51"/>
      <c r="H31" s="51"/>
      <c r="I31" s="51"/>
    </row>
    <row r="32" spans="1:18" x14ac:dyDescent="0.2">
      <c r="A32" s="53" t="s">
        <v>34</v>
      </c>
      <c r="B32" s="53"/>
      <c r="C32" s="53"/>
      <c r="D32" s="53"/>
    </row>
    <row r="40" spans="7:7" x14ac:dyDescent="0.2">
      <c r="G40" s="52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 ny förd</vt:lpstr>
      <vt:lpstr>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Sandberg</dc:creator>
  <cp:lastModifiedBy>Blomqvist Fredrik  - HK</cp:lastModifiedBy>
  <cp:lastPrinted>2019-02-28T23:14:47Z</cp:lastPrinted>
  <dcterms:created xsi:type="dcterms:W3CDTF">2011-02-27T16:39:30Z</dcterms:created>
  <dcterms:modified xsi:type="dcterms:W3CDTF">2019-05-16T06:10:06Z</dcterms:modified>
</cp:coreProperties>
</file>