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09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Blommelund\"/>
    </mc:Choice>
  </mc:AlternateContent>
  <xr:revisionPtr revIDLastSave="31" documentId="11_43425D79326FB108FCF87B6F84AB5A6AF91FA735" xr6:coauthVersionLast="47" xr6:coauthVersionMax="47" xr10:uidLastSave="{23FD0BEC-4055-49A4-AE85-DDDAED65BB3F}"/>
  <bookViews>
    <workbookView xWindow="0" yWindow="0" windowWidth="28800" windowHeight="11745" xr2:uid="{00000000-000D-0000-FFFF-FFFF00000000}"/>
  </bookViews>
  <sheets>
    <sheet name="2025" sheetId="22" r:id="rId1"/>
    <sheet name="2024" sheetId="21" r:id="rId2"/>
    <sheet name="2023" sheetId="20" r:id="rId3"/>
    <sheet name="2022" sheetId="19" r:id="rId4"/>
    <sheet name="2021 " sheetId="18" r:id="rId5"/>
    <sheet name="2020 andelar" sheetId="14" r:id="rId6"/>
    <sheet name="2019 ny förd" sheetId="13" r:id="rId7"/>
    <sheet name="2020 OH i %" sheetId="17" r:id="rId8"/>
    <sheet name="2020 ekonomiska andelar" sheetId="15" r:id="rId9"/>
    <sheet name="2019" sheetId="12" r:id="rId10"/>
    <sheet name="Blad1" sheetId="2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2" l="1"/>
  <c r="I13" i="22"/>
  <c r="D5" i="22"/>
  <c r="J33" i="22"/>
  <c r="G2" i="22"/>
  <c r="C2" i="22"/>
  <c r="B2" i="22"/>
  <c r="H57" i="22"/>
  <c r="G57" i="22"/>
  <c r="H38" i="22"/>
  <c r="G38" i="22"/>
  <c r="F38" i="22"/>
  <c r="E38" i="22"/>
  <c r="D38" i="22"/>
  <c r="C38" i="22"/>
  <c r="B38" i="22"/>
  <c r="I37" i="22"/>
  <c r="I36" i="22"/>
  <c r="K35" i="22"/>
  <c r="I35" i="22"/>
  <c r="I34" i="22"/>
  <c r="I33" i="22"/>
  <c r="I32" i="22"/>
  <c r="I31" i="22"/>
  <c r="J26" i="22"/>
  <c r="N22" i="22"/>
  <c r="H13" i="22"/>
  <c r="G13" i="22"/>
  <c r="F13" i="22"/>
  <c r="E13" i="22"/>
  <c r="D13" i="22"/>
  <c r="C13" i="22"/>
  <c r="B13" i="22"/>
  <c r="H12" i="22"/>
  <c r="G12" i="22"/>
  <c r="F12" i="22"/>
  <c r="E12" i="22"/>
  <c r="D12" i="22"/>
  <c r="C12" i="22"/>
  <c r="B12" i="22"/>
  <c r="I11" i="22"/>
  <c r="H11" i="22"/>
  <c r="G11" i="22"/>
  <c r="F11" i="22"/>
  <c r="E11" i="22"/>
  <c r="D11" i="22"/>
  <c r="C11" i="22"/>
  <c r="B11" i="22"/>
  <c r="H10" i="22"/>
  <c r="G10" i="22"/>
  <c r="F10" i="22"/>
  <c r="E10" i="22"/>
  <c r="D10" i="22"/>
  <c r="C10" i="22"/>
  <c r="B10" i="22"/>
  <c r="H9" i="22"/>
  <c r="H14" i="22" s="1"/>
  <c r="H24" i="22" s="1"/>
  <c r="F9" i="22"/>
  <c r="F14" i="22" s="1"/>
  <c r="I8" i="22"/>
  <c r="I6" i="22"/>
  <c r="E4" i="22"/>
  <c r="E9" i="22" s="1"/>
  <c r="E14" i="22" s="1"/>
  <c r="I3" i="22"/>
  <c r="G3" i="22"/>
  <c r="B3" i="22"/>
  <c r="C9" i="22"/>
  <c r="C14" i="22" s="1"/>
  <c r="I13" i="21"/>
  <c r="I12" i="21"/>
  <c r="D5" i="21"/>
  <c r="I3" i="21"/>
  <c r="G2" i="21"/>
  <c r="C2" i="21"/>
  <c r="B2" i="21"/>
  <c r="E4" i="21"/>
  <c r="B9" i="22" l="1"/>
  <c r="I2" i="22"/>
  <c r="C25" i="22"/>
  <c r="C24" i="22"/>
  <c r="C20" i="22"/>
  <c r="C19" i="22"/>
  <c r="C18" i="22"/>
  <c r="G58" i="22"/>
  <c r="G9" i="22"/>
  <c r="G14" i="22" s="1"/>
  <c r="E24" i="22"/>
  <c r="E23" i="22"/>
  <c r="E21" i="22"/>
  <c r="E20" i="22"/>
  <c r="E19" i="22"/>
  <c r="D9" i="22"/>
  <c r="D14" i="22" s="1"/>
  <c r="I5" i="22"/>
  <c r="F24" i="22"/>
  <c r="F23" i="22"/>
  <c r="F21" i="22"/>
  <c r="F20" i="22"/>
  <c r="F19" i="22"/>
  <c r="F18" i="22"/>
  <c r="H27" i="22"/>
  <c r="G27" i="22"/>
  <c r="F27" i="22"/>
  <c r="E27" i="22"/>
  <c r="D27" i="22"/>
  <c r="C27" i="22"/>
  <c r="B27" i="22"/>
  <c r="H43" i="22"/>
  <c r="G43" i="22"/>
  <c r="F43" i="22"/>
  <c r="E43" i="22"/>
  <c r="D43" i="22"/>
  <c r="C43" i="22"/>
  <c r="B43" i="22"/>
  <c r="I38" i="22"/>
  <c r="I39" i="22" s="1"/>
  <c r="I40" i="22" s="1"/>
  <c r="H44" i="22"/>
  <c r="G44" i="22"/>
  <c r="F44" i="22"/>
  <c r="E44" i="22"/>
  <c r="D44" i="22"/>
  <c r="C44" i="22"/>
  <c r="B44" i="22"/>
  <c r="H45" i="22"/>
  <c r="G45" i="22"/>
  <c r="F45" i="22"/>
  <c r="E45" i="22"/>
  <c r="D45" i="22"/>
  <c r="C45" i="22"/>
  <c r="B45" i="22"/>
  <c r="H46" i="22"/>
  <c r="G46" i="22"/>
  <c r="F46" i="22"/>
  <c r="E46" i="22"/>
  <c r="D46" i="22"/>
  <c r="C46" i="22"/>
  <c r="B46" i="22"/>
  <c r="H47" i="22"/>
  <c r="G47" i="22"/>
  <c r="F47" i="22"/>
  <c r="E47" i="22"/>
  <c r="D47" i="22"/>
  <c r="C47" i="22"/>
  <c r="B47" i="22"/>
  <c r="H48" i="22"/>
  <c r="G48" i="22"/>
  <c r="F48" i="22"/>
  <c r="E48" i="22"/>
  <c r="D48" i="22"/>
  <c r="C48" i="22"/>
  <c r="B48" i="22"/>
  <c r="H49" i="22"/>
  <c r="G49" i="22"/>
  <c r="F49" i="22"/>
  <c r="E49" i="22"/>
  <c r="D49" i="22"/>
  <c r="C49" i="22"/>
  <c r="B49" i="22"/>
  <c r="B39" i="22"/>
  <c r="B40" i="22" s="1"/>
  <c r="C39" i="22"/>
  <c r="C40" i="22" s="1"/>
  <c r="D39" i="22"/>
  <c r="D40" i="22" s="1"/>
  <c r="E39" i="22"/>
  <c r="E40" i="22" s="1"/>
  <c r="F39" i="22"/>
  <c r="F40" i="22" s="1"/>
  <c r="G39" i="22"/>
  <c r="G40" i="22" s="1"/>
  <c r="H39" i="22"/>
  <c r="H40" i="22" s="1"/>
  <c r="I5" i="21"/>
  <c r="F12" i="21"/>
  <c r="I8" i="21"/>
  <c r="N22" i="21"/>
  <c r="H57" i="21"/>
  <c r="G57" i="21"/>
  <c r="H38" i="21"/>
  <c r="G38" i="21"/>
  <c r="F38" i="21"/>
  <c r="E38" i="21"/>
  <c r="D38" i="21"/>
  <c r="C38" i="21"/>
  <c r="B38" i="21"/>
  <c r="I37" i="21"/>
  <c r="I36" i="21"/>
  <c r="K35" i="21"/>
  <c r="I35" i="21"/>
  <c r="I34" i="21"/>
  <c r="I33" i="21"/>
  <c r="I32" i="21"/>
  <c r="I31" i="21"/>
  <c r="J26" i="21"/>
  <c r="D27" i="21" s="1"/>
  <c r="H13" i="21"/>
  <c r="G13" i="21"/>
  <c r="F13" i="21"/>
  <c r="E13" i="21"/>
  <c r="D13" i="21"/>
  <c r="C13" i="21"/>
  <c r="B13" i="21"/>
  <c r="D12" i="21"/>
  <c r="H12" i="21"/>
  <c r="G12" i="21"/>
  <c r="I11" i="21"/>
  <c r="D11" i="21" s="1"/>
  <c r="H10" i="21"/>
  <c r="G10" i="21"/>
  <c r="F10" i="21"/>
  <c r="E10" i="21"/>
  <c r="D10" i="21"/>
  <c r="C10" i="21"/>
  <c r="B10" i="21"/>
  <c r="H9" i="21"/>
  <c r="F9" i="21"/>
  <c r="E9" i="21"/>
  <c r="I6" i="21"/>
  <c r="G3" i="21"/>
  <c r="B3" i="21"/>
  <c r="G58" i="21"/>
  <c r="C9" i="21"/>
  <c r="B50" i="22" l="1"/>
  <c r="C50" i="22"/>
  <c r="C51" i="22" s="1"/>
  <c r="D50" i="22"/>
  <c r="D51" i="22" s="1"/>
  <c r="E50" i="22"/>
  <c r="E51" i="22" s="1"/>
  <c r="F50" i="22"/>
  <c r="F51" i="22" s="1"/>
  <c r="G50" i="22"/>
  <c r="G51" i="22" s="1"/>
  <c r="H50" i="22"/>
  <c r="H51" i="22" s="1"/>
  <c r="D20" i="22"/>
  <c r="D19" i="22"/>
  <c r="D18" i="22"/>
  <c r="G25" i="22"/>
  <c r="G24" i="22"/>
  <c r="G23" i="22"/>
  <c r="J23" i="22" s="1"/>
  <c r="J24" i="22"/>
  <c r="J25" i="22"/>
  <c r="B14" i="22"/>
  <c r="I9" i="22"/>
  <c r="E12" i="21"/>
  <c r="I2" i="21"/>
  <c r="D9" i="21"/>
  <c r="D14" i="21" s="1"/>
  <c r="D18" i="21" s="1"/>
  <c r="E27" i="21"/>
  <c r="F27" i="21"/>
  <c r="G27" i="21"/>
  <c r="E11" i="21"/>
  <c r="E47" i="21" s="1"/>
  <c r="H27" i="21"/>
  <c r="G9" i="21"/>
  <c r="F11" i="21"/>
  <c r="F14" i="21" s="1"/>
  <c r="E43" i="21"/>
  <c r="G11" i="21"/>
  <c r="H11" i="21"/>
  <c r="G45" i="21"/>
  <c r="D46" i="21"/>
  <c r="G44" i="21"/>
  <c r="D49" i="21"/>
  <c r="D47" i="21"/>
  <c r="D48" i="21"/>
  <c r="G49" i="21"/>
  <c r="D45" i="21"/>
  <c r="G48" i="21"/>
  <c r="H49" i="21"/>
  <c r="I38" i="21"/>
  <c r="I39" i="21" s="1"/>
  <c r="I40" i="21" s="1"/>
  <c r="B11" i="21"/>
  <c r="B12" i="21"/>
  <c r="B27" i="21"/>
  <c r="D44" i="21"/>
  <c r="E45" i="21"/>
  <c r="G47" i="21"/>
  <c r="H48" i="21"/>
  <c r="C12" i="21"/>
  <c r="D43" i="21"/>
  <c r="H47" i="21"/>
  <c r="B9" i="21"/>
  <c r="C11" i="21"/>
  <c r="C27" i="21"/>
  <c r="K34" i="20"/>
  <c r="B37" i="20"/>
  <c r="P22" i="20"/>
  <c r="B21" i="22" l="1"/>
  <c r="J21" i="22" s="1"/>
  <c r="B20" i="22"/>
  <c r="J20" i="22" s="1"/>
  <c r="B19" i="22"/>
  <c r="J19" i="22" s="1"/>
  <c r="B18" i="22"/>
  <c r="J18" i="22" s="1"/>
  <c r="I14" i="22"/>
  <c r="N25" i="22"/>
  <c r="K25" i="22"/>
  <c r="N24" i="22"/>
  <c r="K24" i="22"/>
  <c r="N23" i="22"/>
  <c r="K23" i="22"/>
  <c r="B51" i="22"/>
  <c r="I50" i="22"/>
  <c r="J50" i="22" s="1"/>
  <c r="H43" i="21"/>
  <c r="H46" i="21"/>
  <c r="G43" i="21"/>
  <c r="G46" i="21"/>
  <c r="G14" i="21"/>
  <c r="G25" i="21" s="1"/>
  <c r="E46" i="21"/>
  <c r="D19" i="21"/>
  <c r="D20" i="21"/>
  <c r="E44" i="21"/>
  <c r="E48" i="21"/>
  <c r="E14" i="21"/>
  <c r="E19" i="21" s="1"/>
  <c r="E49" i="21"/>
  <c r="G24" i="21"/>
  <c r="F43" i="21"/>
  <c r="F46" i="21"/>
  <c r="F45" i="21"/>
  <c r="F49" i="21"/>
  <c r="F39" i="21"/>
  <c r="F40" i="21" s="1"/>
  <c r="F48" i="21"/>
  <c r="C47" i="21"/>
  <c r="G23" i="21"/>
  <c r="F24" i="21"/>
  <c r="F18" i="21"/>
  <c r="F23" i="21"/>
  <c r="F20" i="21"/>
  <c r="F21" i="21"/>
  <c r="F19" i="21"/>
  <c r="G50" i="21"/>
  <c r="G51" i="21" s="1"/>
  <c r="C39" i="21"/>
  <c r="C40" i="21" s="1"/>
  <c r="B39" i="21"/>
  <c r="B40" i="21" s="1"/>
  <c r="H14" i="21"/>
  <c r="H24" i="21" s="1"/>
  <c r="H39" i="21"/>
  <c r="H40" i="21" s="1"/>
  <c r="E39" i="21"/>
  <c r="E40" i="21" s="1"/>
  <c r="F44" i="21"/>
  <c r="H44" i="21"/>
  <c r="B48" i="21"/>
  <c r="F47" i="21"/>
  <c r="H45" i="21"/>
  <c r="B47" i="21"/>
  <c r="C49" i="21"/>
  <c r="C45" i="21"/>
  <c r="C44" i="21"/>
  <c r="C46" i="21"/>
  <c r="B14" i="21"/>
  <c r="I9" i="21"/>
  <c r="C48" i="21"/>
  <c r="C14" i="21"/>
  <c r="C43" i="21"/>
  <c r="B44" i="21"/>
  <c r="B46" i="21"/>
  <c r="B45" i="21"/>
  <c r="B43" i="21"/>
  <c r="B49" i="21"/>
  <c r="G39" i="21"/>
  <c r="G40" i="21" s="1"/>
  <c r="D50" i="21"/>
  <c r="D51" i="21" s="1"/>
  <c r="D39" i="21"/>
  <c r="D40" i="21" s="1"/>
  <c r="G2" i="20"/>
  <c r="B2" i="20"/>
  <c r="C2" i="20"/>
  <c r="G56" i="20"/>
  <c r="G3" i="20"/>
  <c r="B3" i="20"/>
  <c r="H56" i="20"/>
  <c r="I12" i="20"/>
  <c r="H37" i="20"/>
  <c r="G37" i="20"/>
  <c r="F37" i="20"/>
  <c r="E37" i="20"/>
  <c r="D37" i="20"/>
  <c r="C37" i="20"/>
  <c r="I36" i="20"/>
  <c r="I35" i="20"/>
  <c r="I34" i="20"/>
  <c r="I33" i="20"/>
  <c r="I32" i="20"/>
  <c r="I31" i="20"/>
  <c r="I30" i="20"/>
  <c r="J26" i="20"/>
  <c r="H27" i="20" s="1"/>
  <c r="H13" i="20"/>
  <c r="G13" i="20"/>
  <c r="F13" i="20"/>
  <c r="E13" i="20"/>
  <c r="D13" i="20"/>
  <c r="C13" i="20"/>
  <c r="B13" i="20"/>
  <c r="H12" i="20"/>
  <c r="I11" i="20"/>
  <c r="H11" i="20" s="1"/>
  <c r="H10" i="20"/>
  <c r="G10" i="20"/>
  <c r="F10" i="20"/>
  <c r="E10" i="20"/>
  <c r="D10" i="20"/>
  <c r="C10" i="20"/>
  <c r="B10" i="20"/>
  <c r="H9" i="20"/>
  <c r="F9" i="20"/>
  <c r="E9" i="20"/>
  <c r="C9" i="20"/>
  <c r="I8" i="20"/>
  <c r="I6" i="20"/>
  <c r="D5" i="20"/>
  <c r="I5" i="20" s="1"/>
  <c r="N18" i="22" l="1"/>
  <c r="K18" i="22"/>
  <c r="N19" i="22"/>
  <c r="K19" i="22"/>
  <c r="N20" i="22"/>
  <c r="K20" i="22"/>
  <c r="N21" i="22"/>
  <c r="K21" i="22"/>
  <c r="E24" i="21"/>
  <c r="E50" i="21"/>
  <c r="E51" i="21" s="1"/>
  <c r="E20" i="21"/>
  <c r="E21" i="21"/>
  <c r="E23" i="21"/>
  <c r="H50" i="21"/>
  <c r="H51" i="21" s="1"/>
  <c r="F50" i="21"/>
  <c r="F51" i="21" s="1"/>
  <c r="J23" i="21"/>
  <c r="K23" i="21" s="1"/>
  <c r="B50" i="21"/>
  <c r="I14" i="21"/>
  <c r="B21" i="21"/>
  <c r="B20" i="21"/>
  <c r="B18" i="21"/>
  <c r="B19" i="21"/>
  <c r="C50" i="21"/>
  <c r="C51" i="21" s="1"/>
  <c r="C20" i="21"/>
  <c r="C25" i="21"/>
  <c r="J25" i="21" s="1"/>
  <c r="C24" i="21"/>
  <c r="J24" i="21" s="1"/>
  <c r="C19" i="21"/>
  <c r="C18" i="21"/>
  <c r="H46" i="20"/>
  <c r="H14" i="20"/>
  <c r="H24" i="20" s="1"/>
  <c r="H48" i="20"/>
  <c r="H47" i="20"/>
  <c r="B11" i="20"/>
  <c r="B12" i="20"/>
  <c r="B45" i="20" s="1"/>
  <c r="B27" i="20"/>
  <c r="B9" i="20"/>
  <c r="C11" i="20"/>
  <c r="C12" i="20"/>
  <c r="C47" i="20" s="1"/>
  <c r="C27" i="20"/>
  <c r="H45" i="20"/>
  <c r="C48" i="20"/>
  <c r="D12" i="20"/>
  <c r="D27" i="20"/>
  <c r="H44" i="20"/>
  <c r="D11" i="20"/>
  <c r="D9" i="20"/>
  <c r="E11" i="20"/>
  <c r="E12" i="20"/>
  <c r="E48" i="20" s="1"/>
  <c r="E27" i="20"/>
  <c r="H43" i="20"/>
  <c r="F12" i="20"/>
  <c r="F27" i="20"/>
  <c r="G11" i="20"/>
  <c r="G12" i="20"/>
  <c r="G43" i="20" s="1"/>
  <c r="G27" i="20"/>
  <c r="I37" i="20"/>
  <c r="C44" i="20"/>
  <c r="F11" i="20"/>
  <c r="F14" i="20" s="1"/>
  <c r="H42" i="20"/>
  <c r="B10" i="14"/>
  <c r="B11" i="12"/>
  <c r="G10" i="19"/>
  <c r="E10" i="19"/>
  <c r="I38" i="20" l="1"/>
  <c r="I39" i="20" s="1"/>
  <c r="B38" i="20"/>
  <c r="B39" i="20" s="1"/>
  <c r="E38" i="20"/>
  <c r="E39" i="20" s="1"/>
  <c r="D38" i="20"/>
  <c r="D39" i="20" s="1"/>
  <c r="F38" i="20"/>
  <c r="F39" i="20" s="1"/>
  <c r="G38" i="20"/>
  <c r="G39" i="20" s="1"/>
  <c r="H38" i="20"/>
  <c r="H39" i="20" s="1"/>
  <c r="F43" i="20"/>
  <c r="D42" i="20"/>
  <c r="C43" i="20"/>
  <c r="J18" i="21"/>
  <c r="N18" i="21"/>
  <c r="I50" i="21"/>
  <c r="J50" i="21" s="1"/>
  <c r="J21" i="21"/>
  <c r="K21" i="21" s="1"/>
  <c r="B51" i="21"/>
  <c r="N25" i="21"/>
  <c r="N24" i="21"/>
  <c r="N23" i="21"/>
  <c r="J20" i="21"/>
  <c r="K20" i="21" s="1"/>
  <c r="K24" i="21"/>
  <c r="K25" i="21"/>
  <c r="J19" i="21"/>
  <c r="F47" i="20"/>
  <c r="D44" i="20"/>
  <c r="D14" i="20"/>
  <c r="D18" i="20" s="1"/>
  <c r="G48" i="20"/>
  <c r="D48" i="20"/>
  <c r="D45" i="20"/>
  <c r="D47" i="20"/>
  <c r="B42" i="20"/>
  <c r="B46" i="20"/>
  <c r="B47" i="20"/>
  <c r="C42" i="20"/>
  <c r="F23" i="20"/>
  <c r="F24" i="20"/>
  <c r="F20" i="20"/>
  <c r="F19" i="20"/>
  <c r="F18" i="20"/>
  <c r="F21" i="20"/>
  <c r="G47" i="20"/>
  <c r="G46" i="20"/>
  <c r="G45" i="20"/>
  <c r="G42" i="20"/>
  <c r="E46" i="20"/>
  <c r="G44" i="20"/>
  <c r="F46" i="20"/>
  <c r="E14" i="20"/>
  <c r="E44" i="20"/>
  <c r="F42" i="20"/>
  <c r="E42" i="20"/>
  <c r="B44" i="20"/>
  <c r="B48" i="20"/>
  <c r="E47" i="20"/>
  <c r="B43" i="20"/>
  <c r="E45" i="20"/>
  <c r="H49" i="20"/>
  <c r="H50" i="20" s="1"/>
  <c r="C46" i="20"/>
  <c r="D46" i="20"/>
  <c r="D43" i="20"/>
  <c r="D49" i="20" s="1"/>
  <c r="D50" i="20" s="1"/>
  <c r="E43" i="20"/>
  <c r="C38" i="20"/>
  <c r="C39" i="20" s="1"/>
  <c r="B14" i="20"/>
  <c r="B18" i="20" s="1"/>
  <c r="F48" i="20"/>
  <c r="F45" i="20"/>
  <c r="F44" i="20"/>
  <c r="C45" i="20"/>
  <c r="C14" i="20"/>
  <c r="I11" i="19"/>
  <c r="I12" i="19"/>
  <c r="H12" i="19" s="1"/>
  <c r="I3" i="19"/>
  <c r="H37" i="19"/>
  <c r="G37" i="19"/>
  <c r="F37" i="19"/>
  <c r="E37" i="19"/>
  <c r="D37" i="19"/>
  <c r="C37" i="19"/>
  <c r="B37" i="19"/>
  <c r="I36" i="19"/>
  <c r="I35" i="19"/>
  <c r="I34" i="19"/>
  <c r="I33" i="19"/>
  <c r="I32" i="19"/>
  <c r="I31" i="19"/>
  <c r="I30" i="19"/>
  <c r="J26" i="19"/>
  <c r="H13" i="19"/>
  <c r="G13" i="19"/>
  <c r="F13" i="19"/>
  <c r="E13" i="19"/>
  <c r="D13" i="19"/>
  <c r="C13" i="19"/>
  <c r="B13" i="19"/>
  <c r="H10" i="19"/>
  <c r="F10" i="19"/>
  <c r="D10" i="19"/>
  <c r="C10" i="19"/>
  <c r="B10" i="19"/>
  <c r="H9" i="19"/>
  <c r="F9" i="19"/>
  <c r="E9" i="19"/>
  <c r="C9" i="19"/>
  <c r="I8" i="19"/>
  <c r="I6" i="19"/>
  <c r="D5" i="19"/>
  <c r="I4" i="19"/>
  <c r="G2" i="19"/>
  <c r="G9" i="19" s="1"/>
  <c r="B2" i="19"/>
  <c r="B9" i="19" l="1"/>
  <c r="I2" i="19"/>
  <c r="I5" i="19"/>
  <c r="D9" i="19"/>
  <c r="H27" i="19"/>
  <c r="E27" i="19"/>
  <c r="D27" i="19"/>
  <c r="N21" i="21"/>
  <c r="N19" i="21"/>
  <c r="N20" i="21"/>
  <c r="K18" i="21"/>
  <c r="K19" i="21"/>
  <c r="D19" i="20"/>
  <c r="D20" i="20"/>
  <c r="C49" i="20"/>
  <c r="C50" i="20" s="1"/>
  <c r="B49" i="20"/>
  <c r="B50" i="20" s="1"/>
  <c r="E23" i="20"/>
  <c r="E21" i="20"/>
  <c r="E24" i="20"/>
  <c r="E20" i="20"/>
  <c r="E19" i="20"/>
  <c r="C20" i="20"/>
  <c r="C25" i="20"/>
  <c r="C24" i="20"/>
  <c r="C18" i="20"/>
  <c r="J18" i="20" s="1"/>
  <c r="P18" i="20" s="1"/>
  <c r="C19" i="20"/>
  <c r="B21" i="20"/>
  <c r="B20" i="20"/>
  <c r="B19" i="20"/>
  <c r="E49" i="20"/>
  <c r="E50" i="20" s="1"/>
  <c r="F49" i="20"/>
  <c r="F50" i="20" s="1"/>
  <c r="G49" i="20"/>
  <c r="G50" i="20" s="1"/>
  <c r="D12" i="19"/>
  <c r="E12" i="19"/>
  <c r="D11" i="19"/>
  <c r="D48" i="19" s="1"/>
  <c r="I9" i="19"/>
  <c r="B11" i="19"/>
  <c r="B12" i="19"/>
  <c r="B48" i="19" s="1"/>
  <c r="B27" i="19"/>
  <c r="C11" i="19"/>
  <c r="C12" i="19"/>
  <c r="C27" i="19"/>
  <c r="F11" i="19"/>
  <c r="F12" i="19"/>
  <c r="F27" i="19"/>
  <c r="B44" i="19"/>
  <c r="G11" i="19"/>
  <c r="G12" i="19"/>
  <c r="G27" i="19"/>
  <c r="I37" i="19"/>
  <c r="I12" i="18"/>
  <c r="I11" i="18" s="1"/>
  <c r="H37" i="18"/>
  <c r="G37" i="18"/>
  <c r="F37" i="18"/>
  <c r="E37" i="18"/>
  <c r="D37" i="18"/>
  <c r="C37" i="18"/>
  <c r="B37" i="18"/>
  <c r="I36" i="18"/>
  <c r="I35" i="18"/>
  <c r="I34" i="18"/>
  <c r="I33" i="18"/>
  <c r="I32" i="18"/>
  <c r="I31" i="18"/>
  <c r="I30" i="18"/>
  <c r="J26" i="18"/>
  <c r="H27" i="18" s="1"/>
  <c r="H13" i="18"/>
  <c r="G13" i="18"/>
  <c r="F13" i="18"/>
  <c r="E13" i="18"/>
  <c r="D13" i="18"/>
  <c r="C13" i="18"/>
  <c r="B13" i="18"/>
  <c r="H12" i="18"/>
  <c r="G12" i="18"/>
  <c r="F12" i="18"/>
  <c r="E12" i="18"/>
  <c r="D12" i="18"/>
  <c r="C12" i="18"/>
  <c r="B12" i="18"/>
  <c r="H11" i="18"/>
  <c r="G11" i="18"/>
  <c r="F11" i="18"/>
  <c r="E11" i="18"/>
  <c r="D11" i="18"/>
  <c r="C11" i="18"/>
  <c r="B11" i="18"/>
  <c r="H10" i="18"/>
  <c r="G10" i="18"/>
  <c r="F10" i="18"/>
  <c r="E10" i="18"/>
  <c r="D10" i="18"/>
  <c r="C10" i="18"/>
  <c r="B10" i="18"/>
  <c r="H9" i="18"/>
  <c r="F9" i="18"/>
  <c r="E9" i="18"/>
  <c r="C9" i="18"/>
  <c r="I8" i="18"/>
  <c r="I6" i="18"/>
  <c r="D5" i="18"/>
  <c r="I4" i="18"/>
  <c r="I3" i="18"/>
  <c r="G2" i="18"/>
  <c r="G9" i="18" s="1"/>
  <c r="B2" i="18"/>
  <c r="B9" i="18" l="1"/>
  <c r="I2" i="18"/>
  <c r="I5" i="18"/>
  <c r="D9" i="18"/>
  <c r="B46" i="18"/>
  <c r="E14" i="18"/>
  <c r="D44" i="18"/>
  <c r="E45" i="18"/>
  <c r="I38" i="19"/>
  <c r="I39" i="19" s="1"/>
  <c r="D38" i="19"/>
  <c r="E38" i="19"/>
  <c r="E39" i="19" s="1"/>
  <c r="C46" i="19"/>
  <c r="B42" i="19"/>
  <c r="J19" i="20"/>
  <c r="J21" i="20"/>
  <c r="I49" i="20"/>
  <c r="J49" i="20" s="1"/>
  <c r="J20" i="20"/>
  <c r="P20" i="20" s="1"/>
  <c r="F46" i="19"/>
  <c r="F45" i="19"/>
  <c r="F44" i="19"/>
  <c r="H11" i="19"/>
  <c r="E11" i="19"/>
  <c r="G45" i="19"/>
  <c r="D42" i="19"/>
  <c r="D43" i="19"/>
  <c r="D14" i="19"/>
  <c r="D45" i="19"/>
  <c r="B45" i="19"/>
  <c r="D47" i="19"/>
  <c r="G14" i="19"/>
  <c r="G24" i="19" s="1"/>
  <c r="D44" i="19"/>
  <c r="F47" i="19"/>
  <c r="F48" i="19"/>
  <c r="C43" i="19"/>
  <c r="G48" i="19"/>
  <c r="D46" i="19"/>
  <c r="G44" i="19"/>
  <c r="G46" i="19"/>
  <c r="G23" i="19"/>
  <c r="C44" i="19"/>
  <c r="C48" i="19"/>
  <c r="F38" i="19"/>
  <c r="F39" i="19" s="1"/>
  <c r="B43" i="19"/>
  <c r="C45" i="19"/>
  <c r="B47" i="19"/>
  <c r="B14" i="19"/>
  <c r="F43" i="19"/>
  <c r="B46" i="19"/>
  <c r="G47" i="19"/>
  <c r="C38" i="19"/>
  <c r="C39" i="19" s="1"/>
  <c r="C47" i="19"/>
  <c r="G43" i="19"/>
  <c r="G42" i="19"/>
  <c r="C42" i="19"/>
  <c r="D39" i="19"/>
  <c r="C14" i="19"/>
  <c r="H38" i="19"/>
  <c r="H39" i="19" s="1"/>
  <c r="F42" i="19"/>
  <c r="F14" i="19"/>
  <c r="G38" i="19"/>
  <c r="G39" i="19" s="1"/>
  <c r="B38" i="19"/>
  <c r="B39" i="19" s="1"/>
  <c r="F45" i="18"/>
  <c r="G47" i="18"/>
  <c r="G14" i="18"/>
  <c r="G25" i="18" s="1"/>
  <c r="G46" i="18"/>
  <c r="B47" i="18"/>
  <c r="H44" i="18"/>
  <c r="H14" i="18"/>
  <c r="H24" i="18" s="1"/>
  <c r="B14" i="18"/>
  <c r="B19" i="18" s="1"/>
  <c r="E48" i="18"/>
  <c r="C47" i="18"/>
  <c r="D48" i="18"/>
  <c r="F46" i="18"/>
  <c r="C14" i="18"/>
  <c r="C25" i="18" s="1"/>
  <c r="F48" i="18"/>
  <c r="H48" i="18"/>
  <c r="G43" i="18"/>
  <c r="D14" i="18"/>
  <c r="D20" i="18" s="1"/>
  <c r="B42" i="18"/>
  <c r="F14" i="18"/>
  <c r="F23" i="18" s="1"/>
  <c r="C43" i="18"/>
  <c r="E23" i="18"/>
  <c r="E24" i="18"/>
  <c r="E21" i="18"/>
  <c r="E20" i="18"/>
  <c r="E19" i="18"/>
  <c r="G23" i="18"/>
  <c r="C42" i="18"/>
  <c r="E44" i="18"/>
  <c r="H47" i="18"/>
  <c r="I9" i="18"/>
  <c r="B27" i="18"/>
  <c r="D42" i="18"/>
  <c r="E43" i="18"/>
  <c r="F44" i="18"/>
  <c r="G45" i="18"/>
  <c r="H46" i="18"/>
  <c r="B48" i="18"/>
  <c r="D43" i="18"/>
  <c r="C27" i="18"/>
  <c r="E42" i="18"/>
  <c r="F43" i="18"/>
  <c r="G44" i="18"/>
  <c r="H45" i="18"/>
  <c r="C48" i="18"/>
  <c r="D27" i="18"/>
  <c r="F42" i="18"/>
  <c r="E27" i="18"/>
  <c r="G42" i="18"/>
  <c r="H43" i="18"/>
  <c r="B45" i="18"/>
  <c r="C46" i="18"/>
  <c r="D47" i="18"/>
  <c r="B44" i="18"/>
  <c r="G27" i="18"/>
  <c r="I37" i="18"/>
  <c r="B43" i="18"/>
  <c r="C44" i="18"/>
  <c r="D45" i="18"/>
  <c r="E46" i="18"/>
  <c r="F47" i="18"/>
  <c r="G48" i="18"/>
  <c r="F27" i="18"/>
  <c r="H42" i="18"/>
  <c r="C45" i="18"/>
  <c r="D46" i="18"/>
  <c r="E47" i="18"/>
  <c r="J26" i="17"/>
  <c r="I12" i="17"/>
  <c r="H9" i="17"/>
  <c r="F9" i="17"/>
  <c r="E9" i="17"/>
  <c r="C9" i="17"/>
  <c r="I8" i="17"/>
  <c r="I6" i="17"/>
  <c r="D5" i="17"/>
  <c r="I4" i="17"/>
  <c r="I3" i="17"/>
  <c r="G2" i="17"/>
  <c r="G9" i="17" s="1"/>
  <c r="B2" i="17"/>
  <c r="I2" i="17" s="1"/>
  <c r="I30" i="14"/>
  <c r="F48" i="15"/>
  <c r="F49" i="15" s="1"/>
  <c r="E48" i="15"/>
  <c r="E49" i="15" s="1"/>
  <c r="D48" i="15"/>
  <c r="D49" i="15" s="1"/>
  <c r="C48" i="15"/>
  <c r="C49" i="15" s="1"/>
  <c r="G13" i="15"/>
  <c r="G11" i="15"/>
  <c r="G10" i="15"/>
  <c r="B13" i="15"/>
  <c r="B11" i="15"/>
  <c r="B10" i="15"/>
  <c r="H37" i="15"/>
  <c r="G37" i="15"/>
  <c r="F37" i="15"/>
  <c r="E37" i="15"/>
  <c r="D37" i="15"/>
  <c r="C37" i="15"/>
  <c r="B37" i="15"/>
  <c r="I36" i="15"/>
  <c r="H48" i="15" s="1"/>
  <c r="I35" i="15"/>
  <c r="I34" i="15"/>
  <c r="I33" i="15"/>
  <c r="H45" i="15" s="1"/>
  <c r="I32" i="15"/>
  <c r="I31" i="15"/>
  <c r="I30" i="15"/>
  <c r="J26" i="15"/>
  <c r="I12" i="15"/>
  <c r="H47" i="15"/>
  <c r="H9" i="15"/>
  <c r="H14" i="15" s="1"/>
  <c r="H24" i="15" s="1"/>
  <c r="F9" i="15"/>
  <c r="F14" i="15" s="1"/>
  <c r="F20" i="15" s="1"/>
  <c r="E9" i="15"/>
  <c r="E14" i="15" s="1"/>
  <c r="C9" i="15"/>
  <c r="C14" i="15" s="1"/>
  <c r="I8" i="15"/>
  <c r="I6" i="15"/>
  <c r="D5" i="15"/>
  <c r="I5" i="15" s="1"/>
  <c r="I4" i="15"/>
  <c r="I3" i="15"/>
  <c r="G2" i="15"/>
  <c r="G9" i="15" s="1"/>
  <c r="B2" i="15"/>
  <c r="B9" i="15" s="1"/>
  <c r="H37" i="14"/>
  <c r="G37" i="14"/>
  <c r="F37" i="14"/>
  <c r="E37" i="14"/>
  <c r="D37" i="14"/>
  <c r="C37" i="14"/>
  <c r="B37" i="14"/>
  <c r="I36" i="14"/>
  <c r="I35" i="14"/>
  <c r="I34" i="14"/>
  <c r="I33" i="14"/>
  <c r="I32" i="14"/>
  <c r="I31" i="14"/>
  <c r="J26" i="14"/>
  <c r="H13" i="14"/>
  <c r="G13" i="14"/>
  <c r="F13" i="14"/>
  <c r="E13" i="14"/>
  <c r="D13" i="14"/>
  <c r="C13" i="14"/>
  <c r="B13" i="14"/>
  <c r="I12" i="14"/>
  <c r="H12" i="14" s="1"/>
  <c r="F12" i="14"/>
  <c r="C12" i="14"/>
  <c r="H11" i="14"/>
  <c r="G11" i="14"/>
  <c r="F11" i="14"/>
  <c r="E11" i="14"/>
  <c r="D11" i="14"/>
  <c r="C11" i="14"/>
  <c r="B11" i="14"/>
  <c r="H10" i="14"/>
  <c r="H46" i="14" s="1"/>
  <c r="G10" i="14"/>
  <c r="F10" i="14"/>
  <c r="E10" i="14"/>
  <c r="D10" i="14"/>
  <c r="C10" i="14"/>
  <c r="H9" i="14"/>
  <c r="H14" i="14" s="1"/>
  <c r="H24" i="14" s="1"/>
  <c r="F9" i="14"/>
  <c r="E9" i="14"/>
  <c r="C9" i="14"/>
  <c r="C14" i="14" s="1"/>
  <c r="C25" i="14" s="1"/>
  <c r="I8" i="14"/>
  <c r="I6" i="14"/>
  <c r="D5" i="14"/>
  <c r="I4" i="14"/>
  <c r="I3" i="14"/>
  <c r="G2" i="14"/>
  <c r="G9" i="14" s="1"/>
  <c r="B2" i="14"/>
  <c r="I2" i="14" s="1"/>
  <c r="B35" i="13"/>
  <c r="D9" i="14" l="1"/>
  <c r="I5" i="14"/>
  <c r="F43" i="14"/>
  <c r="C48" i="14"/>
  <c r="H45" i="14"/>
  <c r="H27" i="14"/>
  <c r="F27" i="14"/>
  <c r="C27" i="14"/>
  <c r="C43" i="14"/>
  <c r="E23" i="15"/>
  <c r="E19" i="15"/>
  <c r="G12" i="15"/>
  <c r="B12" i="15"/>
  <c r="B14" i="15" s="1"/>
  <c r="H27" i="15"/>
  <c r="D27" i="15"/>
  <c r="C27" i="15"/>
  <c r="B48" i="15"/>
  <c r="G48" i="15"/>
  <c r="G49" i="15" s="1"/>
  <c r="C42" i="14"/>
  <c r="I5" i="17"/>
  <c r="D9" i="17"/>
  <c r="D27" i="17"/>
  <c r="H27" i="17"/>
  <c r="G27" i="17"/>
  <c r="F27" i="17"/>
  <c r="E27" i="17"/>
  <c r="I38" i="18"/>
  <c r="I39" i="18" s="1"/>
  <c r="D38" i="18"/>
  <c r="D39" i="18" s="1"/>
  <c r="F38" i="18"/>
  <c r="F39" i="18" s="1"/>
  <c r="H38" i="18"/>
  <c r="H39" i="18" s="1"/>
  <c r="K21" i="20"/>
  <c r="P21" i="20"/>
  <c r="K19" i="20"/>
  <c r="O19" i="20" s="1"/>
  <c r="P19" i="20"/>
  <c r="O21" i="20"/>
  <c r="K20" i="20"/>
  <c r="O20" i="20" s="1"/>
  <c r="K18" i="20"/>
  <c r="O18" i="20" s="1"/>
  <c r="E48" i="19"/>
  <c r="E44" i="19"/>
  <c r="E47" i="19"/>
  <c r="E42" i="19"/>
  <c r="E46" i="19"/>
  <c r="E14" i="19"/>
  <c r="E43" i="19"/>
  <c r="E45" i="19"/>
  <c r="H44" i="19"/>
  <c r="H45" i="19"/>
  <c r="H48" i="19"/>
  <c r="H46" i="19"/>
  <c r="H43" i="19"/>
  <c r="H47" i="19"/>
  <c r="H42" i="19"/>
  <c r="H49" i="19" s="1"/>
  <c r="H50" i="19" s="1"/>
  <c r="H14" i="19"/>
  <c r="H24" i="19" s="1"/>
  <c r="D49" i="19"/>
  <c r="D50" i="19" s="1"/>
  <c r="B49" i="19"/>
  <c r="B50" i="19" s="1"/>
  <c r="D18" i="19"/>
  <c r="D20" i="19"/>
  <c r="D19" i="19"/>
  <c r="G25" i="19"/>
  <c r="C49" i="19"/>
  <c r="C50" i="19" s="1"/>
  <c r="C25" i="19"/>
  <c r="C24" i="19"/>
  <c r="C19" i="19"/>
  <c r="C18" i="19"/>
  <c r="C20" i="19"/>
  <c r="F19" i="19"/>
  <c r="F23" i="19"/>
  <c r="F18" i="19"/>
  <c r="F24" i="19"/>
  <c r="F20" i="19"/>
  <c r="F21" i="19"/>
  <c r="G49" i="19"/>
  <c r="G50" i="19" s="1"/>
  <c r="B21" i="19"/>
  <c r="B20" i="19"/>
  <c r="B19" i="19"/>
  <c r="B18" i="19"/>
  <c r="F49" i="19"/>
  <c r="F50" i="19" s="1"/>
  <c r="B49" i="18"/>
  <c r="C20" i="18"/>
  <c r="C19" i="18"/>
  <c r="C18" i="18"/>
  <c r="B21" i="18"/>
  <c r="J25" i="18"/>
  <c r="K25" i="18" s="1"/>
  <c r="N25" i="18" s="1"/>
  <c r="C24" i="18"/>
  <c r="G24" i="18"/>
  <c r="B20" i="18"/>
  <c r="F18" i="18"/>
  <c r="F21" i="18"/>
  <c r="F20" i="18"/>
  <c r="J20" i="18" s="1"/>
  <c r="K20" i="18" s="1"/>
  <c r="N20" i="18" s="1"/>
  <c r="F19" i="18"/>
  <c r="F24" i="18"/>
  <c r="B18" i="18"/>
  <c r="F49" i="18"/>
  <c r="F50" i="18" s="1"/>
  <c r="D18" i="18"/>
  <c r="D19" i="18"/>
  <c r="I14" i="18"/>
  <c r="B50" i="18"/>
  <c r="H49" i="18"/>
  <c r="H50" i="18" s="1"/>
  <c r="B38" i="18"/>
  <c r="B39" i="18" s="1"/>
  <c r="G49" i="18"/>
  <c r="G50" i="18" s="1"/>
  <c r="E38" i="18"/>
  <c r="E39" i="18" s="1"/>
  <c r="E49" i="18"/>
  <c r="E50" i="18" s="1"/>
  <c r="C49" i="18"/>
  <c r="C50" i="18" s="1"/>
  <c r="D49" i="18"/>
  <c r="D50" i="18" s="1"/>
  <c r="C38" i="18"/>
  <c r="C39" i="18" s="1"/>
  <c r="G38" i="18"/>
  <c r="G39" i="18" s="1"/>
  <c r="J23" i="18"/>
  <c r="K23" i="18" s="1"/>
  <c r="N23" i="18" s="1"/>
  <c r="B9" i="17"/>
  <c r="B27" i="17"/>
  <c r="C27" i="17"/>
  <c r="B49" i="15"/>
  <c r="B50" i="15" s="1"/>
  <c r="G14" i="15"/>
  <c r="G23" i="15"/>
  <c r="G24" i="15"/>
  <c r="G25" i="15"/>
  <c r="C25" i="15"/>
  <c r="J25" i="15" s="1"/>
  <c r="K25" i="15" s="1"/>
  <c r="N25" i="15" s="1"/>
  <c r="C24" i="15"/>
  <c r="C18" i="15"/>
  <c r="C19" i="15"/>
  <c r="C20" i="15"/>
  <c r="B21" i="15"/>
  <c r="B20" i="15"/>
  <c r="B19" i="15"/>
  <c r="B18" i="15"/>
  <c r="E21" i="15"/>
  <c r="F21" i="15"/>
  <c r="B27" i="15"/>
  <c r="H46" i="15"/>
  <c r="E20" i="15"/>
  <c r="F18" i="15"/>
  <c r="F19" i="15"/>
  <c r="H44" i="15"/>
  <c r="E24" i="15"/>
  <c r="E27" i="15"/>
  <c r="H43" i="15"/>
  <c r="I2" i="15"/>
  <c r="D9" i="15"/>
  <c r="F24" i="15"/>
  <c r="F27" i="15"/>
  <c r="H42" i="15"/>
  <c r="E50" i="15"/>
  <c r="F23" i="15"/>
  <c r="J23" i="15" s="1"/>
  <c r="K23" i="15" s="1"/>
  <c r="N23" i="15" s="1"/>
  <c r="G27" i="15"/>
  <c r="I37" i="15"/>
  <c r="F46" i="14"/>
  <c r="F14" i="14"/>
  <c r="F18" i="14" s="1"/>
  <c r="F48" i="14"/>
  <c r="F24" i="14"/>
  <c r="F23" i="14"/>
  <c r="F20" i="14"/>
  <c r="F19" i="14"/>
  <c r="C24" i="14"/>
  <c r="C18" i="14"/>
  <c r="C20" i="14"/>
  <c r="C19" i="14"/>
  <c r="H48" i="14"/>
  <c r="F45" i="14"/>
  <c r="H47" i="14"/>
  <c r="B12" i="14"/>
  <c r="B27" i="14"/>
  <c r="F44" i="14"/>
  <c r="B9" i="14"/>
  <c r="D12" i="14"/>
  <c r="D27" i="14"/>
  <c r="F42" i="14"/>
  <c r="H44" i="14"/>
  <c r="C47" i="14"/>
  <c r="E12" i="14"/>
  <c r="E27" i="14"/>
  <c r="H43" i="14"/>
  <c r="B45" i="14"/>
  <c r="C46" i="14"/>
  <c r="D47" i="14"/>
  <c r="G27" i="14"/>
  <c r="I37" i="14"/>
  <c r="C44" i="14"/>
  <c r="D45" i="14"/>
  <c r="E46" i="14"/>
  <c r="F47" i="14"/>
  <c r="H42" i="14"/>
  <c r="C45" i="14"/>
  <c r="E47" i="14"/>
  <c r="G12" i="14"/>
  <c r="D35" i="13"/>
  <c r="H35" i="13"/>
  <c r="G35" i="13"/>
  <c r="F35" i="13"/>
  <c r="E35" i="13"/>
  <c r="C35" i="13"/>
  <c r="I34" i="13"/>
  <c r="I33" i="13"/>
  <c r="I32" i="13"/>
  <c r="I31" i="13"/>
  <c r="I30" i="13"/>
  <c r="I29" i="13"/>
  <c r="I28" i="13"/>
  <c r="B10" i="13"/>
  <c r="G46" i="14" l="1"/>
  <c r="G45" i="14"/>
  <c r="B38" i="14"/>
  <c r="H38" i="14"/>
  <c r="H39" i="14" s="1"/>
  <c r="E42" i="14"/>
  <c r="E14" i="14"/>
  <c r="E44" i="14"/>
  <c r="E43" i="14"/>
  <c r="D14" i="14"/>
  <c r="D44" i="14"/>
  <c r="D46" i="14"/>
  <c r="D43" i="14"/>
  <c r="D42" i="14"/>
  <c r="B48" i="14"/>
  <c r="B42" i="14"/>
  <c r="I38" i="15"/>
  <c r="I39" i="15" s="1"/>
  <c r="F38" i="15"/>
  <c r="F39" i="15" s="1"/>
  <c r="H38" i="15"/>
  <c r="H39" i="15" s="1"/>
  <c r="E38" i="15"/>
  <c r="E39" i="15" s="1"/>
  <c r="G38" i="15"/>
  <c r="G39" i="15" s="1"/>
  <c r="B38" i="15"/>
  <c r="B39" i="15" s="1"/>
  <c r="C38" i="15"/>
  <c r="C39" i="15" s="1"/>
  <c r="D14" i="15"/>
  <c r="I14" i="15" s="1"/>
  <c r="I9" i="15"/>
  <c r="J18" i="18"/>
  <c r="K18" i="18" s="1"/>
  <c r="N18" i="18" s="1"/>
  <c r="I14" i="19"/>
  <c r="E23" i="19"/>
  <c r="E19" i="19"/>
  <c r="E20" i="19"/>
  <c r="E24" i="19"/>
  <c r="J24" i="19" s="1"/>
  <c r="K24" i="19" s="1"/>
  <c r="N24" i="19" s="1"/>
  <c r="E21" i="19"/>
  <c r="J21" i="19" s="1"/>
  <c r="K21" i="19" s="1"/>
  <c r="N21" i="19" s="1"/>
  <c r="E49" i="19"/>
  <c r="E50" i="19" s="1"/>
  <c r="J23" i="19"/>
  <c r="K23" i="19" s="1"/>
  <c r="N23" i="19" s="1"/>
  <c r="J18" i="19"/>
  <c r="K18" i="19" s="1"/>
  <c r="N18" i="19" s="1"/>
  <c r="J25" i="19"/>
  <c r="K25" i="19" s="1"/>
  <c r="N25" i="19" s="1"/>
  <c r="J19" i="19"/>
  <c r="K19" i="19" s="1"/>
  <c r="N19" i="19" s="1"/>
  <c r="J20" i="19"/>
  <c r="K20" i="19" s="1"/>
  <c r="N20" i="19" s="1"/>
  <c r="J24" i="18"/>
  <c r="K24" i="18" s="1"/>
  <c r="N24" i="18" s="1"/>
  <c r="J21" i="18"/>
  <c r="K21" i="18" s="1"/>
  <c r="N21" i="18" s="1"/>
  <c r="J19" i="18"/>
  <c r="K19" i="18" s="1"/>
  <c r="N19" i="18" s="1"/>
  <c r="I49" i="18"/>
  <c r="J49" i="18" s="1"/>
  <c r="I9" i="17"/>
  <c r="F38" i="14"/>
  <c r="F39" i="14" s="1"/>
  <c r="H49" i="15"/>
  <c r="H50" i="15" s="1"/>
  <c r="G50" i="15"/>
  <c r="J24" i="15"/>
  <c r="K24" i="15" s="1"/>
  <c r="N24" i="15" s="1"/>
  <c r="D38" i="15"/>
  <c r="D39" i="15" s="1"/>
  <c r="D18" i="15"/>
  <c r="J18" i="15" s="1"/>
  <c r="K18" i="15" s="1"/>
  <c r="N18" i="15" s="1"/>
  <c r="D20" i="15"/>
  <c r="J20" i="15" s="1"/>
  <c r="K20" i="15" s="1"/>
  <c r="N20" i="15" s="1"/>
  <c r="D19" i="15"/>
  <c r="J19" i="15" s="1"/>
  <c r="K19" i="15" s="1"/>
  <c r="N19" i="15" s="1"/>
  <c r="F50" i="15"/>
  <c r="D50" i="15"/>
  <c r="C50" i="15"/>
  <c r="J21" i="15"/>
  <c r="K21" i="15" s="1"/>
  <c r="N21" i="15" s="1"/>
  <c r="B44" i="14"/>
  <c r="F21" i="14"/>
  <c r="C49" i="14"/>
  <c r="C50" i="14" s="1"/>
  <c r="B43" i="14"/>
  <c r="G42" i="14"/>
  <c r="D18" i="14"/>
  <c r="D20" i="14"/>
  <c r="D19" i="14"/>
  <c r="G14" i="14"/>
  <c r="G23" i="14" s="1"/>
  <c r="I9" i="14"/>
  <c r="B14" i="14"/>
  <c r="B46" i="14"/>
  <c r="F49" i="14"/>
  <c r="F50" i="14" s="1"/>
  <c r="G47" i="14"/>
  <c r="E38" i="14"/>
  <c r="E39" i="14" s="1"/>
  <c r="I38" i="14"/>
  <c r="I39" i="14" s="1"/>
  <c r="G38" i="14"/>
  <c r="G39" i="14" s="1"/>
  <c r="H49" i="14"/>
  <c r="H50" i="14" s="1"/>
  <c r="G44" i="14"/>
  <c r="G43" i="14"/>
  <c r="B47" i="14"/>
  <c r="E45" i="14"/>
  <c r="B49" i="14"/>
  <c r="B50" i="14" s="1"/>
  <c r="E23" i="14"/>
  <c r="J23" i="14" s="1"/>
  <c r="E24" i="14"/>
  <c r="E21" i="14"/>
  <c r="E20" i="14"/>
  <c r="E19" i="14"/>
  <c r="G48" i="14"/>
  <c r="E48" i="14"/>
  <c r="D48" i="14"/>
  <c r="D49" i="14" s="1"/>
  <c r="D50" i="14" s="1"/>
  <c r="B39" i="14"/>
  <c r="D38" i="14"/>
  <c r="D39" i="14" s="1"/>
  <c r="C38" i="14"/>
  <c r="C39" i="14" s="1"/>
  <c r="I35" i="13"/>
  <c r="I36" i="13" l="1"/>
  <c r="B36" i="13"/>
  <c r="C36" i="13"/>
  <c r="E36" i="13"/>
  <c r="F36" i="13"/>
  <c r="G36" i="13"/>
  <c r="H36" i="13"/>
  <c r="D36" i="13"/>
  <c r="B18" i="14"/>
  <c r="B19" i="14"/>
  <c r="J13" i="17"/>
  <c r="J11" i="17"/>
  <c r="J10" i="17"/>
  <c r="J12" i="17"/>
  <c r="I49" i="19"/>
  <c r="J49" i="19" s="1"/>
  <c r="I49" i="15"/>
  <c r="J49" i="15" s="1"/>
  <c r="E49" i="14"/>
  <c r="E50" i="14" s="1"/>
  <c r="G49" i="14"/>
  <c r="G50" i="14" s="1"/>
  <c r="B21" i="14"/>
  <c r="J21" i="14" s="1"/>
  <c r="K21" i="14" s="1"/>
  <c r="N21" i="14" s="1"/>
  <c r="B20" i="14"/>
  <c r="J20" i="14" s="1"/>
  <c r="K20" i="14" s="1"/>
  <c r="N20" i="14" s="1"/>
  <c r="J19" i="14"/>
  <c r="K19" i="14" s="1"/>
  <c r="N19" i="14" s="1"/>
  <c r="I14" i="14"/>
  <c r="J18" i="14"/>
  <c r="K18" i="14" s="1"/>
  <c r="N18" i="14" s="1"/>
  <c r="K23" i="14"/>
  <c r="N23" i="14" s="1"/>
  <c r="G24" i="14"/>
  <c r="J24" i="14" s="1"/>
  <c r="K24" i="14" s="1"/>
  <c r="N24" i="14" s="1"/>
  <c r="G25" i="14"/>
  <c r="J25" i="14" s="1"/>
  <c r="K25" i="14" s="1"/>
  <c r="N25" i="14" s="1"/>
  <c r="H13" i="13"/>
  <c r="H10" i="13"/>
  <c r="H11" i="13"/>
  <c r="G13" i="13"/>
  <c r="G11" i="13"/>
  <c r="G10" i="13"/>
  <c r="F13" i="13"/>
  <c r="F11" i="13"/>
  <c r="F10" i="13"/>
  <c r="E13" i="13"/>
  <c r="E11" i="13"/>
  <c r="E10" i="13"/>
  <c r="D13" i="13"/>
  <c r="D11" i="13"/>
  <c r="D10" i="13"/>
  <c r="C13" i="13"/>
  <c r="C11" i="13"/>
  <c r="C10" i="13"/>
  <c r="B13" i="13"/>
  <c r="B11" i="13"/>
  <c r="J24" i="13"/>
  <c r="I12" i="13"/>
  <c r="I8" i="13"/>
  <c r="H9" i="13"/>
  <c r="F9" i="13"/>
  <c r="E9" i="13"/>
  <c r="C9" i="13"/>
  <c r="I6" i="13"/>
  <c r="D5" i="13"/>
  <c r="I5" i="13" s="1"/>
  <c r="I4" i="13"/>
  <c r="I3" i="13"/>
  <c r="G2" i="13"/>
  <c r="B2" i="13"/>
  <c r="B9" i="13" s="1"/>
  <c r="H13" i="12"/>
  <c r="G13" i="12"/>
  <c r="F13" i="12"/>
  <c r="E13" i="12"/>
  <c r="D13" i="12"/>
  <c r="C13" i="12"/>
  <c r="B13" i="12"/>
  <c r="I12" i="12"/>
  <c r="H12" i="12" s="1"/>
  <c r="F12" i="12"/>
  <c r="H11" i="12"/>
  <c r="G11" i="12"/>
  <c r="F11" i="12"/>
  <c r="E11" i="12"/>
  <c r="D11" i="12"/>
  <c r="C11" i="12"/>
  <c r="I9" i="12"/>
  <c r="H7" i="12"/>
  <c r="H10" i="12" s="1"/>
  <c r="G7" i="12"/>
  <c r="F7" i="12"/>
  <c r="F10" i="12" s="1"/>
  <c r="F14" i="12" s="1"/>
  <c r="E7" i="12"/>
  <c r="E10" i="12" s="1"/>
  <c r="D7" i="12"/>
  <c r="C7" i="12"/>
  <c r="C10" i="12" s="1"/>
  <c r="B7" i="12"/>
  <c r="I6" i="12"/>
  <c r="D5" i="12"/>
  <c r="I4" i="12"/>
  <c r="I3" i="12"/>
  <c r="G2" i="12"/>
  <c r="G10" i="12" s="1"/>
  <c r="B2" i="12"/>
  <c r="I2" i="12" s="1"/>
  <c r="D10" i="12" l="1"/>
  <c r="I5" i="12"/>
  <c r="F12" i="13"/>
  <c r="G12" i="13"/>
  <c r="E12" i="13"/>
  <c r="C12" i="13"/>
  <c r="C40" i="13"/>
  <c r="C41" i="13"/>
  <c r="C42" i="13"/>
  <c r="C43" i="13"/>
  <c r="C44" i="13"/>
  <c r="C45" i="13"/>
  <c r="C46" i="13"/>
  <c r="E40" i="13"/>
  <c r="E41" i="13"/>
  <c r="E42" i="13"/>
  <c r="E43" i="13"/>
  <c r="E44" i="13"/>
  <c r="E45" i="13"/>
  <c r="E46" i="13"/>
  <c r="F40" i="13"/>
  <c r="F41" i="13"/>
  <c r="F42" i="13"/>
  <c r="F43" i="13"/>
  <c r="F44" i="13"/>
  <c r="F45" i="13"/>
  <c r="F46" i="13"/>
  <c r="G40" i="13"/>
  <c r="G41" i="13"/>
  <c r="G42" i="13"/>
  <c r="G43" i="13"/>
  <c r="G44" i="13"/>
  <c r="G45" i="13"/>
  <c r="G46" i="13"/>
  <c r="H12" i="17"/>
  <c r="G12" i="17"/>
  <c r="F12" i="17"/>
  <c r="E12" i="17"/>
  <c r="D12" i="17"/>
  <c r="C12" i="17"/>
  <c r="B12" i="17"/>
  <c r="H10" i="17"/>
  <c r="G10" i="17"/>
  <c r="F10" i="17"/>
  <c r="E10" i="17"/>
  <c r="D10" i="17"/>
  <c r="C10" i="17"/>
  <c r="B10" i="17"/>
  <c r="H11" i="17"/>
  <c r="G11" i="17"/>
  <c r="F11" i="17"/>
  <c r="E11" i="17"/>
  <c r="D11" i="17"/>
  <c r="C11" i="17"/>
  <c r="B11" i="17"/>
  <c r="H13" i="17"/>
  <c r="G13" i="17"/>
  <c r="F13" i="17"/>
  <c r="E13" i="17"/>
  <c r="D13" i="17"/>
  <c r="C13" i="17"/>
  <c r="B13" i="17"/>
  <c r="D37" i="13"/>
  <c r="H37" i="13"/>
  <c r="G37" i="13"/>
  <c r="F37" i="13"/>
  <c r="E37" i="13"/>
  <c r="C37" i="13"/>
  <c r="B37" i="13"/>
  <c r="I37" i="13"/>
  <c r="I49" i="14"/>
  <c r="J49" i="14" s="1"/>
  <c r="H12" i="13"/>
  <c r="D9" i="13"/>
  <c r="B12" i="13"/>
  <c r="D12" i="13"/>
  <c r="I2" i="13"/>
  <c r="G25" i="13"/>
  <c r="D25" i="13"/>
  <c r="H25" i="13"/>
  <c r="B25" i="13"/>
  <c r="G9" i="13"/>
  <c r="C25" i="13"/>
  <c r="E14" i="13"/>
  <c r="E25" i="13"/>
  <c r="F25" i="13"/>
  <c r="D14" i="13"/>
  <c r="D18" i="13" s="1"/>
  <c r="F14" i="13"/>
  <c r="H14" i="13"/>
  <c r="H22" i="13" s="1"/>
  <c r="C14" i="13"/>
  <c r="C22" i="13" s="1"/>
  <c r="I9" i="13"/>
  <c r="B14" i="13"/>
  <c r="B16" i="13" s="1"/>
  <c r="F21" i="12"/>
  <c r="F22" i="12"/>
  <c r="F18" i="12"/>
  <c r="F17" i="12"/>
  <c r="F16" i="12"/>
  <c r="F19" i="12"/>
  <c r="H14" i="12"/>
  <c r="H22" i="12" s="1"/>
  <c r="B12" i="12"/>
  <c r="B10" i="12"/>
  <c r="B14" i="12" s="1"/>
  <c r="B16" i="12" s="1"/>
  <c r="D12" i="12"/>
  <c r="D14" i="12" s="1"/>
  <c r="C12" i="12"/>
  <c r="C14" i="12" s="1"/>
  <c r="E12" i="12"/>
  <c r="E14" i="12" s="1"/>
  <c r="G12" i="12"/>
  <c r="G14" i="12" s="1"/>
  <c r="D40" i="13" l="1"/>
  <c r="D41" i="13"/>
  <c r="D42" i="13"/>
  <c r="D43" i="13"/>
  <c r="D44" i="13"/>
  <c r="D45" i="13"/>
  <c r="D46" i="13"/>
  <c r="B40" i="13"/>
  <c r="B41" i="13"/>
  <c r="B42" i="13"/>
  <c r="B43" i="13"/>
  <c r="B44" i="13"/>
  <c r="B45" i="13"/>
  <c r="B46" i="13"/>
  <c r="H40" i="13"/>
  <c r="H41" i="13"/>
  <c r="H42" i="13"/>
  <c r="H43" i="13"/>
  <c r="H44" i="13"/>
  <c r="H45" i="13"/>
  <c r="H46" i="13"/>
  <c r="B14" i="17"/>
  <c r="C14" i="17"/>
  <c r="D14" i="17"/>
  <c r="E14" i="17"/>
  <c r="F14" i="17"/>
  <c r="G14" i="17"/>
  <c r="H14" i="17"/>
  <c r="H24" i="17" s="1"/>
  <c r="G47" i="13"/>
  <c r="G48" i="13" s="1"/>
  <c r="F47" i="13"/>
  <c r="F48" i="13" s="1"/>
  <c r="E47" i="13"/>
  <c r="E48" i="13" s="1"/>
  <c r="C47" i="13"/>
  <c r="C48" i="13" s="1"/>
  <c r="F18" i="13"/>
  <c r="F22" i="13"/>
  <c r="F21" i="13"/>
  <c r="F19" i="13"/>
  <c r="F16" i="13"/>
  <c r="D16" i="13"/>
  <c r="E17" i="13"/>
  <c r="E18" i="13"/>
  <c r="E19" i="13"/>
  <c r="E21" i="13"/>
  <c r="E22" i="13"/>
  <c r="C18" i="13"/>
  <c r="F17" i="13"/>
  <c r="C17" i="13"/>
  <c r="C23" i="13"/>
  <c r="D17" i="13"/>
  <c r="G14" i="13"/>
  <c r="I14" i="13" s="1"/>
  <c r="C16" i="13"/>
  <c r="B19" i="13"/>
  <c r="B17" i="13"/>
  <c r="B18" i="13"/>
  <c r="E21" i="12"/>
  <c r="E22" i="12"/>
  <c r="E17" i="12"/>
  <c r="E18" i="12"/>
  <c r="E19" i="12"/>
  <c r="C23" i="12"/>
  <c r="C22" i="12"/>
  <c r="C17" i="12"/>
  <c r="C16" i="12"/>
  <c r="C18" i="12"/>
  <c r="D16" i="12"/>
  <c r="D18" i="12"/>
  <c r="D17" i="12"/>
  <c r="I10" i="12"/>
  <c r="G21" i="12"/>
  <c r="G22" i="12"/>
  <c r="G23" i="12"/>
  <c r="J22" i="12" l="1"/>
  <c r="K22" i="12" s="1"/>
  <c r="N22" i="12" s="1"/>
  <c r="J23" i="12"/>
  <c r="K23" i="12" s="1"/>
  <c r="N23" i="12" s="1"/>
  <c r="N14" i="15"/>
  <c r="N14" i="14"/>
  <c r="G25" i="17"/>
  <c r="G24" i="17"/>
  <c r="G23" i="17"/>
  <c r="F20" i="17"/>
  <c r="F19" i="17"/>
  <c r="F18" i="17"/>
  <c r="F23" i="17"/>
  <c r="F21" i="17"/>
  <c r="F24" i="17"/>
  <c r="E23" i="17"/>
  <c r="J23" i="17" s="1"/>
  <c r="K23" i="17" s="1"/>
  <c r="N23" i="17" s="1"/>
  <c r="E20" i="17"/>
  <c r="E19" i="17"/>
  <c r="E21" i="17"/>
  <c r="E24" i="17"/>
  <c r="D20" i="17"/>
  <c r="D18" i="17"/>
  <c r="D19" i="17"/>
  <c r="C20" i="17"/>
  <c r="C25" i="17"/>
  <c r="J25" i="17" s="1"/>
  <c r="K25" i="17" s="1"/>
  <c r="N25" i="17" s="1"/>
  <c r="C24" i="17"/>
  <c r="J24" i="17" s="1"/>
  <c r="K24" i="17" s="1"/>
  <c r="N24" i="17" s="1"/>
  <c r="C18" i="17"/>
  <c r="C19" i="17"/>
  <c r="I14" i="17"/>
  <c r="N14" i="17" s="1"/>
  <c r="B18" i="17"/>
  <c r="J18" i="17" s="1"/>
  <c r="K18" i="17" s="1"/>
  <c r="N18" i="17" s="1"/>
  <c r="B19" i="17"/>
  <c r="J19" i="17" s="1"/>
  <c r="K19" i="17" s="1"/>
  <c r="N19" i="17" s="1"/>
  <c r="B21" i="17"/>
  <c r="J21" i="17" s="1"/>
  <c r="K21" i="17" s="1"/>
  <c r="N21" i="17" s="1"/>
  <c r="B20" i="17"/>
  <c r="J20" i="17" s="1"/>
  <c r="K20" i="17" s="1"/>
  <c r="N20" i="17" s="1"/>
  <c r="H47" i="13"/>
  <c r="H48" i="13" s="1"/>
  <c r="B47" i="13"/>
  <c r="D47" i="13"/>
  <c r="D48" i="13" s="1"/>
  <c r="J19" i="13"/>
  <c r="K19" i="13" s="1"/>
  <c r="N19" i="13" s="1"/>
  <c r="J16" i="13"/>
  <c r="K16" i="13" s="1"/>
  <c r="N16" i="13" s="1"/>
  <c r="J17" i="13"/>
  <c r="K17" i="13" s="1"/>
  <c r="N17" i="13" s="1"/>
  <c r="G23" i="13"/>
  <c r="J23" i="13" s="1"/>
  <c r="K23" i="13" s="1"/>
  <c r="N23" i="13" s="1"/>
  <c r="G22" i="13"/>
  <c r="G21" i="13"/>
  <c r="J21" i="13" s="1"/>
  <c r="J18" i="13"/>
  <c r="K18" i="13" s="1"/>
  <c r="N18" i="13" s="1"/>
  <c r="B19" i="12"/>
  <c r="J19" i="12" s="1"/>
  <c r="K19" i="12" s="1"/>
  <c r="N19" i="12" s="1"/>
  <c r="B18" i="12"/>
  <c r="J18" i="12" s="1"/>
  <c r="K18" i="12" s="1"/>
  <c r="N18" i="12" s="1"/>
  <c r="B17" i="12"/>
  <c r="J17" i="12" s="1"/>
  <c r="K17" i="12" s="1"/>
  <c r="N17" i="12" s="1"/>
  <c r="I14" i="12"/>
  <c r="J16" i="12"/>
  <c r="K16" i="12" s="1"/>
  <c r="N16" i="12" s="1"/>
  <c r="J21" i="12"/>
  <c r="K21" i="12" s="1"/>
  <c r="N21" i="12" s="1"/>
  <c r="B48" i="13" l="1"/>
  <c r="I47" i="13"/>
  <c r="J47" i="13" s="1"/>
  <c r="J22" i="13"/>
  <c r="K22" i="13" s="1"/>
  <c r="N22" i="13" s="1"/>
  <c r="K21" i="13"/>
  <c r="N21" i="13" s="1"/>
  <c r="G57" i="20" l="1"/>
  <c r="I2" i="20"/>
  <c r="G9" i="20"/>
  <c r="G14" i="20" s="1"/>
  <c r="I14" i="20" l="1"/>
  <c r="G23" i="20"/>
  <c r="J23" i="20" s="1"/>
  <c r="P23" i="20" s="1"/>
  <c r="G25" i="20"/>
  <c r="J25" i="20" s="1"/>
  <c r="P25" i="20" s="1"/>
  <c r="G24" i="20"/>
  <c r="J24" i="20" s="1"/>
  <c r="P24" i="20" s="1"/>
  <c r="I9" i="20"/>
  <c r="K24" i="20" l="1"/>
  <c r="O24" i="20" s="1"/>
  <c r="K25" i="20"/>
  <c r="O25" i="20" s="1"/>
  <c r="K23" i="20"/>
  <c r="O23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Fredrik Sandberg</author>
  </authors>
  <commentList>
    <comment ref="I2" authorId="0" shapeId="0" xr:uid="{BC71EBD3-E4F5-4EAA-B0D3-95B00213BD37}">
      <text>
        <t xml:space="preserve">Fredrik Sandberg:
Grundpris HSB 49112
Fördelning 60% BGA1, 5% BGA6, 35% SGA1
Pålagt för snöröjning 35000 på BGA1 och 30000 på SGA1. 
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Ägaren</author>
    <author>Fredrik Sandberg</author>
  </authors>
  <commentList>
    <comment ref="C2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1854 drift inkl besiktning
</t>
        </r>
      </text>
    </comment>
    <comment ref="I2" authorId="1" shapeId="0" xr:uid="{00000000-0006-0000-0800-000002000000}">
      <text>
        <r>
          <rPr>
            <b/>
            <sz val="9"/>
            <color indexed="81"/>
            <rFont val="Tahoma"/>
            <family val="2"/>
          </rPr>
          <t>Fredrik Sandberg:</t>
        </r>
        <r>
          <rPr>
            <sz val="9"/>
            <color indexed="81"/>
            <rFont val="Tahoma"/>
            <family val="2"/>
          </rPr>
          <t xml:space="preserve">
Grundpris HSB 42500 inkl indexuppräkning 3,88% Totalt 44 150 kr
Fördelning 60% BGA1, 5% BGA6, 35% SGA1
Pålagt för snöröjning 12000 vardera på BGA1 och SGA1. 
På BGA1 O SGA1 är det pålagt 4000 kr vardera för avtal med Anticimex för bekämpning av råttor i avloppet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Ägaren</author>
    <author>Fredrik Sandberg</author>
  </authors>
  <commentList>
    <comment ref="C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1854 drift inkl besiktning
</t>
        </r>
      </text>
    </comment>
    <comment ref="I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Fredrik Sandberg:</t>
        </r>
        <r>
          <rPr>
            <sz val="9"/>
            <color indexed="81"/>
            <rFont val="Tahoma"/>
            <family val="2"/>
          </rPr>
          <t xml:space="preserve">
Grundpris HSB 39170 Fördelning 60% BGA1, 5% BGA6, 35% SGA1
Pålagt för snöröjning 35000 vardera på BGA1 och SGA1.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Ägaren</author>
    <author>Fredrik Sandberg</author>
  </authors>
  <commentList>
    <comment ref="C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1854 drift inkl besiktning
</t>
        </r>
      </text>
    </comment>
    <comment ref="I2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Fredrik Sandberg:</t>
        </r>
        <r>
          <rPr>
            <sz val="9"/>
            <color indexed="81"/>
            <rFont val="Tahoma"/>
            <family val="2"/>
          </rPr>
          <t xml:space="preserve">
Grundpris HSB 46800 Fördelning 60% BGA1, 5% BGA6, 35% SGA1
Pålagt för snöröjning 27500 vardera på BGA1 och SGA1. 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Ägaren</author>
    <author>Fredrik Sandberg</author>
  </authors>
  <commentList>
    <comment ref="C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1854 drift inkl besiktning
</t>
        </r>
      </text>
    </comment>
    <comment ref="I2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Fredrik Sandberg:</t>
        </r>
        <r>
          <rPr>
            <sz val="9"/>
            <color indexed="81"/>
            <rFont val="Tahoma"/>
            <family val="2"/>
          </rPr>
          <t xml:space="preserve">
Grundpris HSB 42500 inkl indexuppräkning 3,88% Totalt 44 150 kr
Fördelning 60% BGA1, 5% BGA6, 35% SGA1
Pålagt för snöröjning 12000 vardera på BGA1 och SGA1. 
På BGA1 O SGA1 är det pålagt 4000 kr vardera för avtal med Anticimex för bekämpning av råttor i avloppet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Ägaren</author>
    <author>Fredrik Sandberg</author>
  </authors>
  <commentList>
    <comment ref="C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1854 drift inkl besiktning
</t>
        </r>
      </text>
    </comment>
    <comment ref="I2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Fredrik Sandberg:</t>
        </r>
        <r>
          <rPr>
            <sz val="9"/>
            <color indexed="81"/>
            <rFont val="Tahoma"/>
            <family val="2"/>
          </rPr>
          <t xml:space="preserve">
Grundpris HSB 42500 inkl indexuppräkning 3,88% Totalt 44 150 kr
Fördelning 60% BGA1, 5% BGA6, 35% SGA1
Pålagt för snöröjning 12000 vardera på BGA1 och SGA1. 
På BGA1 O SGA1 är det pålagt 4000 kr vardera för avtal med Anticimex för bekämpning av råttor i avloppet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Ägaren</author>
    <author>Fredrik Sandberg</author>
  </authors>
  <commentList>
    <comment ref="C2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1854 drift inkl besiktning
</t>
        </r>
      </text>
    </comment>
    <comment ref="I2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Fredrik Sandberg:</t>
        </r>
        <r>
          <rPr>
            <sz val="9"/>
            <color indexed="81"/>
            <rFont val="Tahoma"/>
            <family val="2"/>
          </rPr>
          <t xml:space="preserve">
Grundpris HSB 42500 inkl indexuppräkning 3,88% Totalt 44 150 kr
Fördelning 60% BGA1, 5% BGA6, 35% SGA1
Pålagt för snöröjning 12000 vardera på BGA1 och SGA1. 
På BGA1 O SGA1 är det pålagt 4000 kr vardera för avtal med Anticimex för bekämpning av råttor i avloppet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Ägaren</author>
    <author>Fredrik Sandberg</author>
  </authors>
  <commentList>
    <comment ref="C2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1854 drift inkl besiktning
</t>
        </r>
      </text>
    </comment>
    <comment ref="I2" authorId="1" shapeId="0" xr:uid="{00000000-0006-0000-0500-000002000000}">
      <text>
        <r>
          <rPr>
            <b/>
            <sz val="9"/>
            <color indexed="81"/>
            <rFont val="Tahoma"/>
            <family val="2"/>
          </rPr>
          <t>Fredrik Sandberg:</t>
        </r>
        <r>
          <rPr>
            <sz val="9"/>
            <color indexed="81"/>
            <rFont val="Tahoma"/>
            <family val="2"/>
          </rPr>
          <t xml:space="preserve">
Grundpris HSB 42500 inkl indexuppräkning 3,88% Totalt 44 150 kr
Fördelning 60% BGA1, 5% BGA6, 35% SGA1
Pålagt för snöröjning 12000 vardera på BGA1 och SGA1. 
På BGA1 O SGA1 är det pålagt 4000 kr vardera för avtal med Anticimex för bekämpning av råttor i avloppet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Ägaren</author>
    <author>Fredrik Sandberg</author>
  </authors>
  <commentList>
    <comment ref="C2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1854 drift inkl besiktning
</t>
        </r>
      </text>
    </comment>
    <comment ref="I2" authorId="1" shapeId="0" xr:uid="{00000000-0006-0000-0600-000002000000}">
      <text>
        <r>
          <rPr>
            <b/>
            <sz val="9"/>
            <color indexed="81"/>
            <rFont val="Tahoma"/>
            <family val="2"/>
          </rPr>
          <t>Fredrik Sandberg:</t>
        </r>
        <r>
          <rPr>
            <sz val="9"/>
            <color indexed="81"/>
            <rFont val="Tahoma"/>
            <family val="2"/>
          </rPr>
          <t xml:space="preserve">
Grundpris HSB 42500 inkl indexuppräkning 3,88% Totalt 44 150 kr
Fördelning 60% BGA1, 5% BGA6, 35% SGA1
Pålagt för snöröjning 12000 vardera på BGA1 och SGA1. 
På BGA1 O SGA1 är det pålagt 4000 kr vardera för avtal med Anticimex för bekämpning av råttor i avloppet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Ägaren</author>
    <author>Fredrik Sandberg</author>
  </authors>
  <commentList>
    <comment ref="C2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Ägaren:</t>
        </r>
        <r>
          <rPr>
            <sz val="8"/>
            <color indexed="81"/>
            <rFont val="Tahoma"/>
            <family val="2"/>
          </rPr>
          <t xml:space="preserve">
1854 drift inkl besiktning
</t>
        </r>
      </text>
    </comment>
    <comment ref="I2" authorId="1" shapeId="0" xr:uid="{00000000-0006-0000-0700-000002000000}">
      <text>
        <r>
          <rPr>
            <b/>
            <sz val="9"/>
            <color indexed="81"/>
            <rFont val="Tahoma"/>
            <family val="2"/>
          </rPr>
          <t>Fredrik Sandberg:</t>
        </r>
        <r>
          <rPr>
            <sz val="9"/>
            <color indexed="81"/>
            <rFont val="Tahoma"/>
            <family val="2"/>
          </rPr>
          <t xml:space="preserve">
Grundpris HSB 42500 inkl indexuppräkning 3,88% Totalt 44 150 kr
Fördelning 60% BGA1, 5% BGA6, 35% SGA1
Pålagt för snöröjning 12000 vardera på BGA1 och SGA1. 
På BGA1 O SGA1 är det pålagt 4000 kr vardera för avtal med Anticimex för bekämpning av råttor i avloppet
</t>
        </r>
      </text>
    </comment>
  </commentList>
</comments>
</file>

<file path=xl/sharedStrings.xml><?xml version="1.0" encoding="utf-8"?>
<sst xmlns="http://schemas.openxmlformats.org/spreadsheetml/2006/main" count="742" uniqueCount="53">
  <si>
    <t>BGA1</t>
  </si>
  <si>
    <t>BGA6</t>
  </si>
  <si>
    <t>BGA2</t>
  </si>
  <si>
    <t>BGA4</t>
  </si>
  <si>
    <t>BGA5</t>
  </si>
  <si>
    <t>SGA1</t>
  </si>
  <si>
    <t>SGA2</t>
  </si>
  <si>
    <t>TOT SAMF</t>
  </si>
  <si>
    <t>Fastighetsskötsel</t>
  </si>
  <si>
    <t>El</t>
  </si>
  <si>
    <t>Insparad el avbetalning belysning</t>
  </si>
  <si>
    <t>Kabel-TV</t>
  </si>
  <si>
    <t>Underhållsfond</t>
  </si>
  <si>
    <t>Räntor/Amortering</t>
  </si>
  <si>
    <t>Övrigt/Oförutsett</t>
  </si>
  <si>
    <t>SUMMA</t>
  </si>
  <si>
    <t>Försäkring</t>
  </si>
  <si>
    <t>Styrelse</t>
  </si>
  <si>
    <t>Ekonomisk förvaltning</t>
  </si>
  <si>
    <t>Administration, web, stämma, bank</t>
  </si>
  <si>
    <t>Fördelning utifrån andel per gemensamhetsansläggning</t>
  </si>
  <si>
    <t>FASTGHETSBETECKNING:</t>
  </si>
  <si>
    <t>ÅRSAVG</t>
  </si>
  <si>
    <t>MÅNAVG</t>
  </si>
  <si>
    <t>Halvårsavgift</t>
  </si>
  <si>
    <r>
      <t xml:space="preserve">Blommelund 1-22 </t>
    </r>
    <r>
      <rPr>
        <b/>
        <sz val="8"/>
        <rFont val="Arial"/>
        <family val="2"/>
      </rPr>
      <t>(1 andel var)</t>
    </r>
  </si>
  <si>
    <t>X</t>
  </si>
  <si>
    <r>
      <t>Blommelund 23-37</t>
    </r>
    <r>
      <rPr>
        <b/>
        <sz val="8"/>
        <rFont val="Arial"/>
        <family val="2"/>
      </rPr>
      <t xml:space="preserve"> (1 andel var)</t>
    </r>
  </si>
  <si>
    <r>
      <t xml:space="preserve">Blommelund 41-55 </t>
    </r>
    <r>
      <rPr>
        <b/>
        <sz val="8"/>
        <rFont val="Arial"/>
        <family val="2"/>
      </rPr>
      <t>(1 andel var)</t>
    </r>
  </si>
  <si>
    <r>
      <t>Blommelund 39</t>
    </r>
    <r>
      <rPr>
        <b/>
        <sz val="8"/>
        <rFont val="Arial"/>
        <family val="2"/>
      </rPr>
      <t xml:space="preserve"> (23 andelar)</t>
    </r>
  </si>
  <si>
    <r>
      <t xml:space="preserve">Sandbyhov 31 </t>
    </r>
    <r>
      <rPr>
        <b/>
        <sz val="8"/>
        <rFont val="Arial"/>
        <family val="2"/>
      </rPr>
      <t>(23 andelar)</t>
    </r>
  </si>
  <si>
    <r>
      <t xml:space="preserve">Sandbyhov 34-59 </t>
    </r>
    <r>
      <rPr>
        <b/>
        <sz val="8"/>
        <rFont val="Arial"/>
        <family val="2"/>
      </rPr>
      <t>(1 andel var)</t>
    </r>
  </si>
  <si>
    <r>
      <t xml:space="preserve">Sandbyhov 33 </t>
    </r>
    <r>
      <rPr>
        <b/>
        <sz val="8"/>
        <rFont val="Arial"/>
        <family val="2"/>
      </rPr>
      <t>(10 andelar)</t>
    </r>
  </si>
  <si>
    <t>Blommelund 1-22</t>
  </si>
  <si>
    <t>Blommelund 23-37</t>
  </si>
  <si>
    <t>Blommelund 41-55</t>
  </si>
  <si>
    <t>Blommelund 39</t>
  </si>
  <si>
    <t>Sandbyhov 31</t>
  </si>
  <si>
    <t>Sandbyhov 34-59</t>
  </si>
  <si>
    <t>Sandbyhov 33</t>
  </si>
  <si>
    <t>BGA1=Blommelund gemensamhetsanläggning 1</t>
  </si>
  <si>
    <t>BGA6=Blommelund gemensamhetsanläggning 6</t>
  </si>
  <si>
    <t>BGA2=Blommelund gemensamhetsanläggning 2</t>
  </si>
  <si>
    <t>BGA4=Blommelund gemensamhetsanläggning 4</t>
  </si>
  <si>
    <t>BGA5=Blommelund gemensamhetsanläggning 5</t>
  </si>
  <si>
    <t>SGA1=Sandbyhov gemensamhetsanläggning 1</t>
  </si>
  <si>
    <t>SGA2=Sandbyhov gemensamhetsanläggning 2</t>
  </si>
  <si>
    <t>Styrelsen föreslår uttaxering 1/4 och 1/10 halvårsvis</t>
  </si>
  <si>
    <t>Redan fakturerat halvår 1</t>
  </si>
  <si>
    <t>Rest att fakturera halvår 2</t>
  </si>
  <si>
    <t>Att fakturera halvårsvis</t>
  </si>
  <si>
    <t>Styrelsen föreslår uttaxering 1/5 och 1/10 halvårsvis</t>
  </si>
  <si>
    <t xml:space="preserve">Fördelning utifrån ekonomisk andel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</si>
</sst>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#,##0\ &quot;kr&quot;"/>
    <numFmt numFmtId="165" formatCode="0.0%"/>
    <numFmt numFmtId="166" formatCode="_-* #,##0\ &quot;kr&quot;_-;\-* #,##0\ &quot;kr&quot;_-;_-* &quot;-&quot;??\ &quot;kr&quot;_-;_-@_-"/>
  </numFmts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E2F3DB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91">
    <xf numFmtId="0" fontId="0" fillId="0" borderId="0" xfId="0"/>
    <xf numFmtId="0" fontId="0" fillId="3" borderId="0" xfId="0" applyFill="1"/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" fontId="0" fillId="4" borderId="0" xfId="0" applyNumberFormat="1" applyFill="1" applyAlignment="1">
      <alignment horizontal="right"/>
    </xf>
    <xf numFmtId="0" fontId="0" fillId="5" borderId="0" xfId="0" applyFill="1" applyAlignment="1">
      <alignment horizontal="right"/>
    </xf>
    <xf numFmtId="0" fontId="0" fillId="6" borderId="0" xfId="0" applyFill="1" applyAlignment="1">
      <alignment horizontal="right"/>
    </xf>
    <xf numFmtId="0" fontId="0" fillId="7" borderId="0" xfId="0" applyFill="1" applyAlignment="1">
      <alignment horizontal="right"/>
    </xf>
    <xf numFmtId="1" fontId="0" fillId="3" borderId="0" xfId="0" applyNumberFormat="1" applyFill="1" applyAlignment="1">
      <alignment horizontal="right"/>
    </xf>
    <xf numFmtId="0" fontId="0" fillId="4" borderId="0" xfId="0" applyFill="1" applyAlignment="1">
      <alignment horizontal="right"/>
    </xf>
    <xf numFmtId="0" fontId="0" fillId="3" borderId="0" xfId="0" applyFill="1" applyAlignment="1">
      <alignment horizontal="right"/>
    </xf>
    <xf numFmtId="1" fontId="0" fillId="5" borderId="0" xfId="0" applyNumberFormat="1" applyFill="1" applyAlignment="1">
      <alignment horizontal="right"/>
    </xf>
    <xf numFmtId="1" fontId="0" fillId="6" borderId="0" xfId="0" applyNumberFormat="1" applyFill="1" applyAlignment="1">
      <alignment horizontal="right"/>
    </xf>
    <xf numFmtId="1" fontId="0" fillId="7" borderId="0" xfId="0" applyNumberFormat="1" applyFill="1" applyAlignment="1">
      <alignment horizontal="right"/>
    </xf>
    <xf numFmtId="0" fontId="1" fillId="3" borderId="0" xfId="0" applyFont="1" applyFill="1"/>
    <xf numFmtId="1" fontId="0" fillId="3" borderId="0" xfId="0" applyNumberFormat="1" applyFill="1"/>
    <xf numFmtId="0" fontId="2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1" fillId="8" borderId="0" xfId="0" applyFont="1" applyFill="1"/>
    <xf numFmtId="1" fontId="0" fillId="8" borderId="0" xfId="0" applyNumberFormat="1" applyFill="1" applyAlignment="1">
      <alignment horizontal="right"/>
    </xf>
    <xf numFmtId="0" fontId="0" fillId="8" borderId="0" xfId="0" applyFill="1" applyAlignment="1">
      <alignment horizontal="center"/>
    </xf>
    <xf numFmtId="1" fontId="0" fillId="8" borderId="0" xfId="0" applyNumberFormat="1" applyFill="1"/>
    <xf numFmtId="164" fontId="1" fillId="8" borderId="0" xfId="0" applyNumberFormat="1" applyFont="1" applyFill="1"/>
    <xf numFmtId="0" fontId="1" fillId="9" borderId="0" xfId="0" applyFont="1" applyFill="1"/>
    <xf numFmtId="1" fontId="0" fillId="9" borderId="0" xfId="0" applyNumberFormat="1" applyFill="1" applyAlignment="1">
      <alignment horizontal="right"/>
    </xf>
    <xf numFmtId="0" fontId="0" fillId="9" borderId="0" xfId="0" applyFill="1" applyAlignment="1">
      <alignment horizontal="center"/>
    </xf>
    <xf numFmtId="1" fontId="0" fillId="9" borderId="0" xfId="0" applyNumberFormat="1" applyFill="1"/>
    <xf numFmtId="164" fontId="1" fillId="9" borderId="0" xfId="0" applyNumberFormat="1" applyFont="1" applyFill="1"/>
    <xf numFmtId="0" fontId="1" fillId="10" borderId="0" xfId="0" applyFont="1" applyFill="1"/>
    <xf numFmtId="1" fontId="0" fillId="10" borderId="0" xfId="0" applyNumberFormat="1" applyFill="1" applyAlignment="1">
      <alignment horizontal="right"/>
    </xf>
    <xf numFmtId="1" fontId="0" fillId="10" borderId="0" xfId="0" applyNumberFormat="1" applyFill="1" applyAlignment="1">
      <alignment horizontal="center"/>
    </xf>
    <xf numFmtId="0" fontId="0" fillId="10" borderId="0" xfId="0" applyFill="1" applyAlignment="1">
      <alignment horizontal="center"/>
    </xf>
    <xf numFmtId="1" fontId="0" fillId="10" borderId="0" xfId="0" applyNumberFormat="1" applyFill="1"/>
    <xf numFmtId="164" fontId="1" fillId="10" borderId="0" xfId="0" applyNumberFormat="1" applyFont="1" applyFill="1"/>
    <xf numFmtId="1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right"/>
    </xf>
    <xf numFmtId="0" fontId="0" fillId="2" borderId="0" xfId="0" applyFill="1"/>
    <xf numFmtId="164" fontId="1" fillId="2" borderId="0" xfId="0" applyNumberFormat="1" applyFont="1" applyFill="1"/>
    <xf numFmtId="0" fontId="1" fillId="11" borderId="0" xfId="0" applyFont="1" applyFill="1"/>
    <xf numFmtId="1" fontId="0" fillId="11" borderId="0" xfId="0" applyNumberFormat="1" applyFill="1" applyAlignment="1">
      <alignment horizontal="center"/>
    </xf>
    <xf numFmtId="1" fontId="0" fillId="11" borderId="0" xfId="0" applyNumberFormat="1" applyFill="1" applyAlignment="1">
      <alignment horizontal="right"/>
    </xf>
    <xf numFmtId="0" fontId="0" fillId="11" borderId="0" xfId="0" applyFill="1" applyAlignment="1">
      <alignment horizontal="center"/>
    </xf>
    <xf numFmtId="1" fontId="0" fillId="11" borderId="0" xfId="0" applyNumberFormat="1" applyFill="1"/>
    <xf numFmtId="164" fontId="1" fillId="11" borderId="0" xfId="0" applyNumberFormat="1" applyFont="1" applyFill="1"/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1" fontId="0" fillId="0" borderId="0" xfId="0" applyNumberFormat="1"/>
    <xf numFmtId="0" fontId="4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2" fontId="0" fillId="11" borderId="0" xfId="0" applyNumberFormat="1" applyFill="1" applyAlignment="1">
      <alignment horizontal="center"/>
    </xf>
    <xf numFmtId="0" fontId="1" fillId="0" borderId="0" xfId="0" applyFont="1"/>
    <xf numFmtId="3" fontId="0" fillId="5" borderId="0" xfId="0" applyNumberFormat="1" applyFill="1" applyAlignment="1">
      <alignment horizontal="right"/>
    </xf>
    <xf numFmtId="3" fontId="0" fillId="4" borderId="0" xfId="0" applyNumberFormat="1" applyFill="1" applyAlignment="1">
      <alignment horizontal="right"/>
    </xf>
    <xf numFmtId="3" fontId="0" fillId="6" borderId="0" xfId="0" applyNumberFormat="1" applyFill="1" applyAlignment="1">
      <alignment horizontal="right"/>
    </xf>
    <xf numFmtId="3" fontId="0" fillId="7" borderId="0" xfId="0" applyNumberFormat="1" applyFill="1" applyAlignment="1">
      <alignment horizontal="right"/>
    </xf>
    <xf numFmtId="3" fontId="0" fillId="3" borderId="0" xfId="0" applyNumberFormat="1" applyFill="1" applyAlignment="1">
      <alignment horizontal="right"/>
    </xf>
    <xf numFmtId="3" fontId="2" fillId="3" borderId="0" xfId="0" applyNumberFormat="1" applyFont="1" applyFill="1" applyAlignment="1">
      <alignment horizontal="right"/>
    </xf>
    <xf numFmtId="3" fontId="0" fillId="2" borderId="0" xfId="0" applyNumberFormat="1" applyFill="1" applyAlignment="1">
      <alignment horizontal="center"/>
    </xf>
    <xf numFmtId="3" fontId="0" fillId="10" borderId="0" xfId="0" applyNumberFormat="1" applyFill="1" applyAlignment="1">
      <alignment horizontal="right"/>
    </xf>
    <xf numFmtId="3" fontId="0" fillId="10" borderId="0" xfId="0" applyNumberFormat="1" applyFill="1" applyAlignment="1">
      <alignment horizontal="center"/>
    </xf>
    <xf numFmtId="3" fontId="0" fillId="8" borderId="0" xfId="0" applyNumberFormat="1" applyFill="1" applyAlignment="1">
      <alignment horizontal="right"/>
    </xf>
    <xf numFmtId="3" fontId="0" fillId="8" borderId="0" xfId="0" applyNumberFormat="1" applyFill="1" applyAlignment="1">
      <alignment horizontal="center"/>
    </xf>
    <xf numFmtId="3" fontId="0" fillId="9" borderId="0" xfId="0" applyNumberFormat="1" applyFill="1" applyAlignment="1">
      <alignment horizontal="right"/>
    </xf>
    <xf numFmtId="3" fontId="0" fillId="9" borderId="0" xfId="0" applyNumberFormat="1" applyFill="1" applyAlignment="1">
      <alignment horizontal="center"/>
    </xf>
    <xf numFmtId="3" fontId="0" fillId="2" borderId="0" xfId="0" applyNumberFormat="1" applyFill="1" applyAlignment="1">
      <alignment horizontal="right"/>
    </xf>
    <xf numFmtId="3" fontId="0" fillId="11" borderId="0" xfId="0" applyNumberFormat="1" applyFill="1" applyAlignment="1">
      <alignment horizontal="center"/>
    </xf>
    <xf numFmtId="3" fontId="0" fillId="11" borderId="0" xfId="0" applyNumberFormat="1" applyFill="1" applyAlignment="1">
      <alignment horizontal="right"/>
    </xf>
    <xf numFmtId="0" fontId="2" fillId="0" borderId="0" xfId="0" applyFont="1" applyAlignment="1">
      <alignment horizontal="center"/>
    </xf>
    <xf numFmtId="165" fontId="2" fillId="0" borderId="0" xfId="0" applyNumberFormat="1" applyFont="1"/>
    <xf numFmtId="3" fontId="0" fillId="0" borderId="0" xfId="0" applyNumberFormat="1"/>
    <xf numFmtId="3" fontId="1" fillId="0" borderId="0" xfId="0" applyNumberFormat="1" applyFont="1"/>
    <xf numFmtId="3" fontId="2" fillId="0" borderId="0" xfId="0" applyNumberFormat="1" applyFont="1"/>
    <xf numFmtId="3" fontId="1" fillId="5" borderId="0" xfId="0" applyNumberFormat="1" applyFont="1" applyFill="1" applyAlignment="1">
      <alignment horizontal="right"/>
    </xf>
    <xf numFmtId="3" fontId="1" fillId="3" borderId="0" xfId="0" applyNumberFormat="1" applyFont="1" applyFill="1" applyAlignment="1">
      <alignment horizontal="right"/>
    </xf>
    <xf numFmtId="3" fontId="1" fillId="4" borderId="0" xfId="0" applyNumberFormat="1" applyFont="1" applyFill="1" applyAlignment="1">
      <alignment horizontal="right"/>
    </xf>
    <xf numFmtId="3" fontId="1" fillId="6" borderId="0" xfId="0" applyNumberFormat="1" applyFont="1" applyFill="1" applyAlignment="1">
      <alignment horizontal="right"/>
    </xf>
    <xf numFmtId="3" fontId="1" fillId="7" borderId="0" xfId="0" applyNumberFormat="1" applyFont="1" applyFill="1" applyAlignment="1">
      <alignment horizontal="right"/>
    </xf>
    <xf numFmtId="0" fontId="1" fillId="0" borderId="0" xfId="0" applyFont="1" applyFill="1"/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Fill="1"/>
    <xf numFmtId="166" fontId="0" fillId="0" borderId="0" xfId="1" applyNumberFormat="1" applyFont="1"/>
    <xf numFmtId="1" fontId="2" fillId="0" borderId="0" xfId="0" applyNumberFormat="1" applyFont="1"/>
    <xf numFmtId="9" fontId="0" fillId="0" borderId="0" xfId="2" applyNumberFormat="1" applyFont="1"/>
    <xf numFmtId="4" fontId="1" fillId="0" borderId="0" xfId="0" applyNumberFormat="1" applyFont="1"/>
  </cellXfs>
  <cellStyles count="3">
    <cellStyle name="Normal" xfId="0" builtinId="0"/>
    <cellStyle name="Procent" xfId="2" builtinId="5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5</xdr:row>
      <xdr:rowOff>104775</xdr:rowOff>
    </xdr:from>
    <xdr:to>
      <xdr:col>8</xdr:col>
      <xdr:colOff>514350</xdr:colOff>
      <xdr:row>7</xdr:row>
      <xdr:rowOff>142875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14A874B0-C279-4FB5-81BD-EBC9E351846F}"/>
            </a:ext>
          </a:extLst>
        </xdr:cNvPr>
        <xdr:cNvSpPr txBox="1">
          <a:spLocks noChangeArrowheads="1"/>
        </xdr:cNvSpPr>
      </xdr:nvSpPr>
      <xdr:spPr bwMode="auto">
        <a:xfrm>
          <a:off x="13811250" y="914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73F3C7D-5DAB-4398-87BE-09CB6A4946A8}"/>
            </a:ext>
            <a:ext uri="{147F2762-F138-4A5C-976F-8EAC2B608ADB}">
              <a16:predDERef xmlns:a16="http://schemas.microsoft.com/office/drawing/2014/main" pred="{14A874B0-C279-4FB5-81BD-EBC9E351846F}"/>
            </a:ext>
          </a:extLst>
        </xdr:cNvPr>
        <xdr:cNvSpPr txBox="1">
          <a:spLocks noChangeArrowheads="1"/>
        </xdr:cNvSpPr>
      </xdr:nvSpPr>
      <xdr:spPr bwMode="auto">
        <a:xfrm>
          <a:off x="1381125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4</xdr:row>
      <xdr:rowOff>104775</xdr:rowOff>
    </xdr:from>
    <xdr:to>
      <xdr:col>8</xdr:col>
      <xdr:colOff>514350</xdr:colOff>
      <xdr:row>5</xdr:row>
      <xdr:rowOff>142875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69058018-06BA-4F3A-A212-F2A8E8039AFB}"/>
            </a:ext>
            <a:ext uri="{147F2762-F138-4A5C-976F-8EAC2B608ADB}">
              <a16:predDERef xmlns:a16="http://schemas.microsoft.com/office/drawing/2014/main" pred="{E73F3C7D-5DAB-4398-87BE-09CB6A4946A8}"/>
            </a:ext>
          </a:extLst>
        </xdr:cNvPr>
        <xdr:cNvSpPr txBox="1">
          <a:spLocks noChangeArrowheads="1"/>
        </xdr:cNvSpPr>
      </xdr:nvSpPr>
      <xdr:spPr bwMode="auto">
        <a:xfrm>
          <a:off x="13811250" y="752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35</xdr:row>
      <xdr:rowOff>66675</xdr:rowOff>
    </xdr:from>
    <xdr:to>
      <xdr:col>5</xdr:col>
      <xdr:colOff>609600</xdr:colOff>
      <xdr:row>36</xdr:row>
      <xdr:rowOff>104775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EAB878EA-1B61-4020-96F1-1FC15AE745B2}"/>
            </a:ext>
            <a:ext uri="{147F2762-F138-4A5C-976F-8EAC2B608ADB}">
              <a16:predDERef xmlns:a16="http://schemas.microsoft.com/office/drawing/2014/main" pred="{69058018-06BA-4F3A-A212-F2A8E8039AFB}"/>
            </a:ext>
          </a:extLst>
        </xdr:cNvPr>
        <xdr:cNvSpPr txBox="1">
          <a:spLocks noChangeArrowheads="1"/>
        </xdr:cNvSpPr>
      </xdr:nvSpPr>
      <xdr:spPr bwMode="auto">
        <a:xfrm>
          <a:off x="9448800" y="5086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381000</xdr:colOff>
      <xdr:row>34</xdr:row>
      <xdr:rowOff>123825</xdr:rowOff>
    </xdr:from>
    <xdr:to>
      <xdr:col>5</xdr:col>
      <xdr:colOff>457200</xdr:colOff>
      <xdr:row>36</xdr:row>
      <xdr:rowOff>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1652CBB4-073E-4A61-9778-F2400DAAFBE7}"/>
            </a:ext>
            <a:ext uri="{147F2762-F138-4A5C-976F-8EAC2B608ADB}">
              <a16:predDERef xmlns:a16="http://schemas.microsoft.com/office/drawing/2014/main" pred="{EAB878EA-1B61-4020-96F1-1FC15AE745B2}"/>
            </a:ext>
          </a:extLst>
        </xdr:cNvPr>
        <xdr:cNvSpPr txBox="1">
          <a:spLocks noChangeArrowheads="1"/>
        </xdr:cNvSpPr>
      </xdr:nvSpPr>
      <xdr:spPr bwMode="auto">
        <a:xfrm>
          <a:off x="929640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CD935C05-7DB1-45AA-B6F1-E3C319DE695D}"/>
            </a:ext>
            <a:ext uri="{147F2762-F138-4A5C-976F-8EAC2B608ADB}">
              <a16:predDERef xmlns:a16="http://schemas.microsoft.com/office/drawing/2014/main" pred="{1652CBB4-073E-4A61-9778-F2400DAAFBE7}"/>
            </a:ext>
          </a:extLst>
        </xdr:cNvPr>
        <xdr:cNvSpPr txBox="1">
          <a:spLocks noChangeArrowheads="1"/>
        </xdr:cNvSpPr>
      </xdr:nvSpPr>
      <xdr:spPr bwMode="auto">
        <a:xfrm>
          <a:off x="1381125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333375</xdr:colOff>
      <xdr:row>32</xdr:row>
      <xdr:rowOff>9525</xdr:rowOff>
    </xdr:from>
    <xdr:to>
      <xdr:col>7</xdr:col>
      <xdr:colOff>409575</xdr:colOff>
      <xdr:row>33</xdr:row>
      <xdr:rowOff>47625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2234C718-963D-428E-A363-6864C6DAAEF7}"/>
            </a:ext>
            <a:ext uri="{147F2762-F138-4A5C-976F-8EAC2B608ADB}">
              <a16:predDERef xmlns:a16="http://schemas.microsoft.com/office/drawing/2014/main" pred="{CD935C05-7DB1-45AA-B6F1-E3C319DE695D}"/>
            </a:ext>
          </a:extLst>
        </xdr:cNvPr>
        <xdr:cNvSpPr txBox="1">
          <a:spLocks noChangeArrowheads="1"/>
        </xdr:cNvSpPr>
      </xdr:nvSpPr>
      <xdr:spPr bwMode="auto">
        <a:xfrm>
          <a:off x="12220575" y="4543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4</xdr:row>
      <xdr:rowOff>104775</xdr:rowOff>
    </xdr:from>
    <xdr:to>
      <xdr:col>8</xdr:col>
      <xdr:colOff>514350</xdr:colOff>
      <xdr:row>5</xdr:row>
      <xdr:rowOff>142875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81D02E4-A93B-4B41-8343-770CA36ECBA5}"/>
            </a:ext>
            <a:ext uri="{147F2762-F138-4A5C-976F-8EAC2B608ADB}">
              <a16:predDERef xmlns:a16="http://schemas.microsoft.com/office/drawing/2014/main" pred="{2234C718-963D-428E-A363-6864C6DAAEF7}"/>
            </a:ext>
          </a:extLst>
        </xdr:cNvPr>
        <xdr:cNvSpPr txBox="1">
          <a:spLocks noChangeArrowheads="1"/>
        </xdr:cNvSpPr>
      </xdr:nvSpPr>
      <xdr:spPr bwMode="auto">
        <a:xfrm>
          <a:off x="13811250" y="752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CFED2571-8711-41A1-AAC8-E8CE437F9DA6}"/>
            </a:ext>
            <a:ext uri="{147F2762-F138-4A5C-976F-8EAC2B608ADB}">
              <a16:predDERef xmlns:a16="http://schemas.microsoft.com/office/drawing/2014/main" pred="{081D02E4-A93B-4B41-8343-770CA36ECBA5}"/>
            </a:ext>
          </a:extLst>
        </xdr:cNvPr>
        <xdr:cNvSpPr txBox="1">
          <a:spLocks noChangeArrowheads="1"/>
        </xdr:cNvSpPr>
      </xdr:nvSpPr>
      <xdr:spPr bwMode="auto">
        <a:xfrm>
          <a:off x="1381125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6</xdr:row>
      <xdr:rowOff>104775</xdr:rowOff>
    </xdr:from>
    <xdr:to>
      <xdr:col>8</xdr:col>
      <xdr:colOff>514350</xdr:colOff>
      <xdr:row>8</xdr:row>
      <xdr:rowOff>38100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9BD247FF-2AF1-48EC-AF3F-15605F60A268}"/>
            </a:ext>
            <a:ext uri="{147F2762-F138-4A5C-976F-8EAC2B608ADB}">
              <a16:predDERef xmlns:a16="http://schemas.microsoft.com/office/drawing/2014/main" pred="{CFED2571-8711-41A1-AAC8-E8CE437F9DA6}"/>
            </a:ext>
          </a:extLst>
        </xdr:cNvPr>
        <xdr:cNvSpPr txBox="1">
          <a:spLocks noChangeArrowheads="1"/>
        </xdr:cNvSpPr>
      </xdr:nvSpPr>
      <xdr:spPr bwMode="auto">
        <a:xfrm>
          <a:off x="1381125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6</xdr:row>
      <xdr:rowOff>104775</xdr:rowOff>
    </xdr:from>
    <xdr:to>
      <xdr:col>8</xdr:col>
      <xdr:colOff>514350</xdr:colOff>
      <xdr:row>8</xdr:row>
      <xdr:rowOff>38100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40B48E2-4DFC-4855-8B13-8B5DBC07C1AB}"/>
            </a:ext>
            <a:ext uri="{147F2762-F138-4A5C-976F-8EAC2B608ADB}">
              <a16:predDERef xmlns:a16="http://schemas.microsoft.com/office/drawing/2014/main" pred="{9BD247FF-2AF1-48EC-AF3F-15605F60A268}"/>
            </a:ext>
          </a:extLst>
        </xdr:cNvPr>
        <xdr:cNvSpPr txBox="1">
          <a:spLocks noChangeArrowheads="1"/>
        </xdr:cNvSpPr>
      </xdr:nvSpPr>
      <xdr:spPr bwMode="auto">
        <a:xfrm>
          <a:off x="1381125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3EB048C1-A18C-4412-A9FC-D4820C920D49}"/>
            </a:ext>
            <a:ext uri="{147F2762-F138-4A5C-976F-8EAC2B608ADB}">
              <a16:predDERef xmlns:a16="http://schemas.microsoft.com/office/drawing/2014/main" pred="{040B48E2-4DFC-4855-8B13-8B5DBC07C1AB}"/>
            </a:ext>
          </a:extLst>
        </xdr:cNvPr>
        <xdr:cNvSpPr txBox="1">
          <a:spLocks noChangeArrowheads="1"/>
        </xdr:cNvSpPr>
      </xdr:nvSpPr>
      <xdr:spPr bwMode="auto">
        <a:xfrm>
          <a:off x="1381125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31473AE5-9C32-41C3-884B-9861AC2762C6}"/>
            </a:ext>
            <a:ext uri="{147F2762-F138-4A5C-976F-8EAC2B608ADB}">
              <a16:predDERef xmlns:a16="http://schemas.microsoft.com/office/drawing/2014/main" pred="{3EB048C1-A18C-4412-A9FC-D4820C920D49}"/>
            </a:ext>
          </a:extLst>
        </xdr:cNvPr>
        <xdr:cNvSpPr txBox="1">
          <a:spLocks noChangeArrowheads="1"/>
        </xdr:cNvSpPr>
      </xdr:nvSpPr>
      <xdr:spPr bwMode="auto">
        <a:xfrm>
          <a:off x="1381125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2B31DF9F-A140-498F-8938-D7E3775978EA}"/>
            </a:ext>
            <a:ext uri="{147F2762-F138-4A5C-976F-8EAC2B608ADB}">
              <a16:predDERef xmlns:a16="http://schemas.microsoft.com/office/drawing/2014/main" pred="{31473AE5-9C32-41C3-884B-9861AC2762C6}"/>
            </a:ext>
          </a:extLst>
        </xdr:cNvPr>
        <xdr:cNvSpPr txBox="1">
          <a:spLocks noChangeArrowheads="1"/>
        </xdr:cNvSpPr>
      </xdr:nvSpPr>
      <xdr:spPr bwMode="auto">
        <a:xfrm>
          <a:off x="1381125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400050</xdr:colOff>
      <xdr:row>11</xdr:row>
      <xdr:rowOff>152400</xdr:rowOff>
    </xdr:from>
    <xdr:ext cx="76200" cy="200025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829B16E3-C4F7-466F-83B0-1BC944480D29}"/>
            </a:ext>
            <a:ext uri="{147F2762-F138-4A5C-976F-8EAC2B608ADB}">
              <a16:predDERef xmlns:a16="http://schemas.microsoft.com/office/drawing/2014/main" pred="{2B31DF9F-A140-498F-8938-D7E3775978EA}"/>
            </a:ext>
          </a:extLst>
        </xdr:cNvPr>
        <xdr:cNvSpPr txBox="1">
          <a:spLocks noChangeArrowheads="1"/>
        </xdr:cNvSpPr>
      </xdr:nvSpPr>
      <xdr:spPr bwMode="auto">
        <a:xfrm>
          <a:off x="13773150" y="1771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5</xdr:row>
      <xdr:rowOff>104775</xdr:rowOff>
    </xdr:from>
    <xdr:to>
      <xdr:col>8</xdr:col>
      <xdr:colOff>514350</xdr:colOff>
      <xdr:row>6</xdr:row>
      <xdr:rowOff>142875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7429500" y="914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742950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4</xdr:row>
      <xdr:rowOff>104775</xdr:rowOff>
    </xdr:from>
    <xdr:to>
      <xdr:col>8</xdr:col>
      <xdr:colOff>514350</xdr:colOff>
      <xdr:row>5</xdr:row>
      <xdr:rowOff>142875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7429500" y="752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29</xdr:row>
      <xdr:rowOff>66675</xdr:rowOff>
    </xdr:from>
    <xdr:to>
      <xdr:col>4</xdr:col>
      <xdr:colOff>609600</xdr:colOff>
      <xdr:row>30</xdr:row>
      <xdr:rowOff>104775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4772025" y="4600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28</xdr:row>
      <xdr:rowOff>123825</xdr:rowOff>
    </xdr:from>
    <xdr:to>
      <xdr:col>4</xdr:col>
      <xdr:colOff>457200</xdr:colOff>
      <xdr:row>30</xdr:row>
      <xdr:rowOff>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4619625" y="4495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742950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333375</xdr:colOff>
      <xdr:row>26</xdr:row>
      <xdr:rowOff>9525</xdr:rowOff>
    </xdr:from>
    <xdr:to>
      <xdr:col>6</xdr:col>
      <xdr:colOff>409575</xdr:colOff>
      <xdr:row>27</xdr:row>
      <xdr:rowOff>47625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5981700" y="4057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4</xdr:row>
      <xdr:rowOff>104775</xdr:rowOff>
    </xdr:from>
    <xdr:to>
      <xdr:col>8</xdr:col>
      <xdr:colOff>514350</xdr:colOff>
      <xdr:row>5</xdr:row>
      <xdr:rowOff>142875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 bwMode="auto">
        <a:xfrm>
          <a:off x="7429500" y="752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 bwMode="auto">
        <a:xfrm>
          <a:off x="742950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7</xdr:row>
      <xdr:rowOff>104775</xdr:rowOff>
    </xdr:from>
    <xdr:to>
      <xdr:col>8</xdr:col>
      <xdr:colOff>514350</xdr:colOff>
      <xdr:row>9</xdr:row>
      <xdr:rowOff>38100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 bwMode="auto">
        <a:xfrm>
          <a:off x="7429500" y="1133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7</xdr:row>
      <xdr:rowOff>104775</xdr:rowOff>
    </xdr:from>
    <xdr:to>
      <xdr:col>8</xdr:col>
      <xdr:colOff>514350</xdr:colOff>
      <xdr:row>9</xdr:row>
      <xdr:rowOff>38100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>
          <a:spLocks noChangeArrowheads="1"/>
        </xdr:cNvSpPr>
      </xdr:nvSpPr>
      <xdr:spPr bwMode="auto">
        <a:xfrm>
          <a:off x="7429500" y="1133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>
          <a:spLocks noChangeArrowheads="1"/>
        </xdr:cNvSpPr>
      </xdr:nvSpPr>
      <xdr:spPr bwMode="auto">
        <a:xfrm>
          <a:off x="742950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>
          <a:spLocks noChangeArrowheads="1"/>
        </xdr:cNvSpPr>
      </xdr:nvSpPr>
      <xdr:spPr bwMode="auto">
        <a:xfrm>
          <a:off x="742950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>
          <a:spLocks noChangeArrowheads="1"/>
        </xdr:cNvSpPr>
      </xdr:nvSpPr>
      <xdr:spPr bwMode="auto">
        <a:xfrm>
          <a:off x="742950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5</xdr:row>
      <xdr:rowOff>104775</xdr:rowOff>
    </xdr:from>
    <xdr:to>
      <xdr:col>8</xdr:col>
      <xdr:colOff>514350</xdr:colOff>
      <xdr:row>7</xdr:row>
      <xdr:rowOff>142875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3811250" y="914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381125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4</xdr:row>
      <xdr:rowOff>104775</xdr:rowOff>
    </xdr:from>
    <xdr:to>
      <xdr:col>8</xdr:col>
      <xdr:colOff>514350</xdr:colOff>
      <xdr:row>5</xdr:row>
      <xdr:rowOff>142875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3811250" y="752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35</xdr:row>
      <xdr:rowOff>66675</xdr:rowOff>
    </xdr:from>
    <xdr:to>
      <xdr:col>5</xdr:col>
      <xdr:colOff>609600</xdr:colOff>
      <xdr:row>36</xdr:row>
      <xdr:rowOff>104775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448800" y="4924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381000</xdr:colOff>
      <xdr:row>34</xdr:row>
      <xdr:rowOff>123825</xdr:rowOff>
    </xdr:from>
    <xdr:to>
      <xdr:col>5</xdr:col>
      <xdr:colOff>457200</xdr:colOff>
      <xdr:row>36</xdr:row>
      <xdr:rowOff>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296400" y="4819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381125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333375</xdr:colOff>
      <xdr:row>32</xdr:row>
      <xdr:rowOff>9525</xdr:rowOff>
    </xdr:from>
    <xdr:to>
      <xdr:col>7</xdr:col>
      <xdr:colOff>409575</xdr:colOff>
      <xdr:row>33</xdr:row>
      <xdr:rowOff>47625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2220575" y="438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4</xdr:row>
      <xdr:rowOff>104775</xdr:rowOff>
    </xdr:from>
    <xdr:to>
      <xdr:col>8</xdr:col>
      <xdr:colOff>514350</xdr:colOff>
      <xdr:row>5</xdr:row>
      <xdr:rowOff>142875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3811250" y="752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381125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6</xdr:row>
      <xdr:rowOff>104775</xdr:rowOff>
    </xdr:from>
    <xdr:to>
      <xdr:col>8</xdr:col>
      <xdr:colOff>514350</xdr:colOff>
      <xdr:row>8</xdr:row>
      <xdr:rowOff>38100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381125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6</xdr:row>
      <xdr:rowOff>104775</xdr:rowOff>
    </xdr:from>
    <xdr:to>
      <xdr:col>8</xdr:col>
      <xdr:colOff>514350</xdr:colOff>
      <xdr:row>8</xdr:row>
      <xdr:rowOff>38100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381125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381125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381125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381125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400050</xdr:colOff>
      <xdr:row>11</xdr:row>
      <xdr:rowOff>152400</xdr:rowOff>
    </xdr:from>
    <xdr:ext cx="76200" cy="200025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3773150" y="1771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5</xdr:row>
      <xdr:rowOff>104775</xdr:rowOff>
    </xdr:from>
    <xdr:to>
      <xdr:col>8</xdr:col>
      <xdr:colOff>514350</xdr:colOff>
      <xdr:row>7</xdr:row>
      <xdr:rowOff>142875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811250" y="914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81125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4</xdr:row>
      <xdr:rowOff>104775</xdr:rowOff>
    </xdr:from>
    <xdr:to>
      <xdr:col>8</xdr:col>
      <xdr:colOff>514350</xdr:colOff>
      <xdr:row>5</xdr:row>
      <xdr:rowOff>142875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3811250" y="752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34</xdr:row>
      <xdr:rowOff>66675</xdr:rowOff>
    </xdr:from>
    <xdr:to>
      <xdr:col>5</xdr:col>
      <xdr:colOff>609600</xdr:colOff>
      <xdr:row>35</xdr:row>
      <xdr:rowOff>104775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9448800" y="4924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381000</xdr:colOff>
      <xdr:row>33</xdr:row>
      <xdr:rowOff>123825</xdr:rowOff>
    </xdr:from>
    <xdr:to>
      <xdr:col>5</xdr:col>
      <xdr:colOff>457200</xdr:colOff>
      <xdr:row>35</xdr:row>
      <xdr:rowOff>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9296400" y="4819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381125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333375</xdr:colOff>
      <xdr:row>31</xdr:row>
      <xdr:rowOff>9525</xdr:rowOff>
    </xdr:from>
    <xdr:to>
      <xdr:col>7</xdr:col>
      <xdr:colOff>409575</xdr:colOff>
      <xdr:row>32</xdr:row>
      <xdr:rowOff>47625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2220575" y="438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4</xdr:row>
      <xdr:rowOff>104775</xdr:rowOff>
    </xdr:from>
    <xdr:to>
      <xdr:col>8</xdr:col>
      <xdr:colOff>514350</xdr:colOff>
      <xdr:row>5</xdr:row>
      <xdr:rowOff>142875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3811250" y="752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381125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6</xdr:row>
      <xdr:rowOff>104775</xdr:rowOff>
    </xdr:from>
    <xdr:to>
      <xdr:col>8</xdr:col>
      <xdr:colOff>514350</xdr:colOff>
      <xdr:row>8</xdr:row>
      <xdr:rowOff>38100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1381125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6</xdr:row>
      <xdr:rowOff>104775</xdr:rowOff>
    </xdr:from>
    <xdr:to>
      <xdr:col>8</xdr:col>
      <xdr:colOff>514350</xdr:colOff>
      <xdr:row>8</xdr:row>
      <xdr:rowOff>38100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381125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1381125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1381125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1381125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400050</xdr:colOff>
      <xdr:row>11</xdr:row>
      <xdr:rowOff>152400</xdr:rowOff>
    </xdr:from>
    <xdr:ext cx="76200" cy="200025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13773150" y="1771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5</xdr:row>
      <xdr:rowOff>104775</xdr:rowOff>
    </xdr:from>
    <xdr:to>
      <xdr:col>8</xdr:col>
      <xdr:colOff>514350</xdr:colOff>
      <xdr:row>7</xdr:row>
      <xdr:rowOff>142875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3811250" y="914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381125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4</xdr:row>
      <xdr:rowOff>104775</xdr:rowOff>
    </xdr:from>
    <xdr:to>
      <xdr:col>8</xdr:col>
      <xdr:colOff>514350</xdr:colOff>
      <xdr:row>5</xdr:row>
      <xdr:rowOff>142875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13811250" y="752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34</xdr:row>
      <xdr:rowOff>66675</xdr:rowOff>
    </xdr:from>
    <xdr:to>
      <xdr:col>5</xdr:col>
      <xdr:colOff>609600</xdr:colOff>
      <xdr:row>35</xdr:row>
      <xdr:rowOff>104775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9448800" y="4924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381000</xdr:colOff>
      <xdr:row>33</xdr:row>
      <xdr:rowOff>123825</xdr:rowOff>
    </xdr:from>
    <xdr:to>
      <xdr:col>5</xdr:col>
      <xdr:colOff>457200</xdr:colOff>
      <xdr:row>35</xdr:row>
      <xdr:rowOff>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9296400" y="4819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381125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333375</xdr:colOff>
      <xdr:row>31</xdr:row>
      <xdr:rowOff>9525</xdr:rowOff>
    </xdr:from>
    <xdr:to>
      <xdr:col>7</xdr:col>
      <xdr:colOff>409575</xdr:colOff>
      <xdr:row>32</xdr:row>
      <xdr:rowOff>47625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12220575" y="438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4</xdr:row>
      <xdr:rowOff>104775</xdr:rowOff>
    </xdr:from>
    <xdr:to>
      <xdr:col>8</xdr:col>
      <xdr:colOff>514350</xdr:colOff>
      <xdr:row>5</xdr:row>
      <xdr:rowOff>142875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3811250" y="752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381125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6</xdr:row>
      <xdr:rowOff>104775</xdr:rowOff>
    </xdr:from>
    <xdr:to>
      <xdr:col>8</xdr:col>
      <xdr:colOff>514350</xdr:colOff>
      <xdr:row>8</xdr:row>
      <xdr:rowOff>38100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1381125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6</xdr:row>
      <xdr:rowOff>104775</xdr:rowOff>
    </xdr:from>
    <xdr:to>
      <xdr:col>8</xdr:col>
      <xdr:colOff>514350</xdr:colOff>
      <xdr:row>8</xdr:row>
      <xdr:rowOff>38100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1381125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1381125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1381125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1381125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400050</xdr:colOff>
      <xdr:row>11</xdr:row>
      <xdr:rowOff>152400</xdr:rowOff>
    </xdr:from>
    <xdr:ext cx="76200" cy="200025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13773150" y="1771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5</xdr:row>
      <xdr:rowOff>104775</xdr:rowOff>
    </xdr:from>
    <xdr:to>
      <xdr:col>8</xdr:col>
      <xdr:colOff>514350</xdr:colOff>
      <xdr:row>7</xdr:row>
      <xdr:rowOff>142875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3811250" y="914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381125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4</xdr:row>
      <xdr:rowOff>104775</xdr:rowOff>
    </xdr:from>
    <xdr:to>
      <xdr:col>8</xdr:col>
      <xdr:colOff>514350</xdr:colOff>
      <xdr:row>5</xdr:row>
      <xdr:rowOff>142875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3811250" y="752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34</xdr:row>
      <xdr:rowOff>66675</xdr:rowOff>
    </xdr:from>
    <xdr:to>
      <xdr:col>5</xdr:col>
      <xdr:colOff>609600</xdr:colOff>
      <xdr:row>35</xdr:row>
      <xdr:rowOff>104775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9448800" y="4924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381000</xdr:colOff>
      <xdr:row>33</xdr:row>
      <xdr:rowOff>123825</xdr:rowOff>
    </xdr:from>
    <xdr:to>
      <xdr:col>5</xdr:col>
      <xdr:colOff>457200</xdr:colOff>
      <xdr:row>35</xdr:row>
      <xdr:rowOff>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9296400" y="4819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381125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333375</xdr:colOff>
      <xdr:row>31</xdr:row>
      <xdr:rowOff>9525</xdr:rowOff>
    </xdr:from>
    <xdr:to>
      <xdr:col>7</xdr:col>
      <xdr:colOff>409575</xdr:colOff>
      <xdr:row>32</xdr:row>
      <xdr:rowOff>47625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2220575" y="438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4</xdr:row>
      <xdr:rowOff>104775</xdr:rowOff>
    </xdr:from>
    <xdr:to>
      <xdr:col>8</xdr:col>
      <xdr:colOff>514350</xdr:colOff>
      <xdr:row>5</xdr:row>
      <xdr:rowOff>142875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3811250" y="752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381125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6</xdr:row>
      <xdr:rowOff>104775</xdr:rowOff>
    </xdr:from>
    <xdr:to>
      <xdr:col>8</xdr:col>
      <xdr:colOff>514350</xdr:colOff>
      <xdr:row>8</xdr:row>
      <xdr:rowOff>38100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381125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6</xdr:row>
      <xdr:rowOff>104775</xdr:rowOff>
    </xdr:from>
    <xdr:to>
      <xdr:col>8</xdr:col>
      <xdr:colOff>514350</xdr:colOff>
      <xdr:row>8</xdr:row>
      <xdr:rowOff>38100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1381125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1381125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1381125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1381125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400050</xdr:colOff>
      <xdr:row>11</xdr:row>
      <xdr:rowOff>152400</xdr:rowOff>
    </xdr:from>
    <xdr:ext cx="76200" cy="200025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13773150" y="1771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5</xdr:row>
      <xdr:rowOff>104775</xdr:rowOff>
    </xdr:from>
    <xdr:to>
      <xdr:col>8</xdr:col>
      <xdr:colOff>514350</xdr:colOff>
      <xdr:row>7</xdr:row>
      <xdr:rowOff>142875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3811250" y="914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381125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4</xdr:row>
      <xdr:rowOff>104775</xdr:rowOff>
    </xdr:from>
    <xdr:to>
      <xdr:col>8</xdr:col>
      <xdr:colOff>514350</xdr:colOff>
      <xdr:row>5</xdr:row>
      <xdr:rowOff>142875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3811250" y="752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34</xdr:row>
      <xdr:rowOff>66675</xdr:rowOff>
    </xdr:from>
    <xdr:to>
      <xdr:col>5</xdr:col>
      <xdr:colOff>609600</xdr:colOff>
      <xdr:row>35</xdr:row>
      <xdr:rowOff>104775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9448800" y="4600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381000</xdr:colOff>
      <xdr:row>33</xdr:row>
      <xdr:rowOff>123825</xdr:rowOff>
    </xdr:from>
    <xdr:to>
      <xdr:col>5</xdr:col>
      <xdr:colOff>457200</xdr:colOff>
      <xdr:row>35</xdr:row>
      <xdr:rowOff>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9296400" y="4495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381125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333375</xdr:colOff>
      <xdr:row>31</xdr:row>
      <xdr:rowOff>9525</xdr:rowOff>
    </xdr:from>
    <xdr:to>
      <xdr:col>7</xdr:col>
      <xdr:colOff>409575</xdr:colOff>
      <xdr:row>32</xdr:row>
      <xdr:rowOff>47625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2220575" y="4057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4</xdr:row>
      <xdr:rowOff>104775</xdr:rowOff>
    </xdr:from>
    <xdr:to>
      <xdr:col>8</xdr:col>
      <xdr:colOff>514350</xdr:colOff>
      <xdr:row>5</xdr:row>
      <xdr:rowOff>142875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3811250" y="752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381125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6</xdr:row>
      <xdr:rowOff>104775</xdr:rowOff>
    </xdr:from>
    <xdr:to>
      <xdr:col>8</xdr:col>
      <xdr:colOff>514350</xdr:colOff>
      <xdr:row>8</xdr:row>
      <xdr:rowOff>38100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381125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6</xdr:row>
      <xdr:rowOff>104775</xdr:rowOff>
    </xdr:from>
    <xdr:to>
      <xdr:col>8</xdr:col>
      <xdr:colOff>514350</xdr:colOff>
      <xdr:row>8</xdr:row>
      <xdr:rowOff>38100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381125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381125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381125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381125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400050</xdr:colOff>
      <xdr:row>11</xdr:row>
      <xdr:rowOff>152400</xdr:rowOff>
    </xdr:from>
    <xdr:ext cx="76200" cy="200025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3773150" y="1771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5</xdr:row>
      <xdr:rowOff>104775</xdr:rowOff>
    </xdr:from>
    <xdr:to>
      <xdr:col>8</xdr:col>
      <xdr:colOff>514350</xdr:colOff>
      <xdr:row>7</xdr:row>
      <xdr:rowOff>142875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7429500" y="914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742950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4</xdr:row>
      <xdr:rowOff>104775</xdr:rowOff>
    </xdr:from>
    <xdr:to>
      <xdr:col>8</xdr:col>
      <xdr:colOff>514350</xdr:colOff>
      <xdr:row>5</xdr:row>
      <xdr:rowOff>142875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7429500" y="752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32</xdr:row>
      <xdr:rowOff>66675</xdr:rowOff>
    </xdr:from>
    <xdr:to>
      <xdr:col>5</xdr:col>
      <xdr:colOff>609600</xdr:colOff>
      <xdr:row>33</xdr:row>
      <xdr:rowOff>104775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4772025" y="4600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381000</xdr:colOff>
      <xdr:row>31</xdr:row>
      <xdr:rowOff>123825</xdr:rowOff>
    </xdr:from>
    <xdr:to>
      <xdr:col>5</xdr:col>
      <xdr:colOff>457200</xdr:colOff>
      <xdr:row>33</xdr:row>
      <xdr:rowOff>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4619625" y="4495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742950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333375</xdr:colOff>
      <xdr:row>29</xdr:row>
      <xdr:rowOff>9525</xdr:rowOff>
    </xdr:from>
    <xdr:to>
      <xdr:col>7</xdr:col>
      <xdr:colOff>409575</xdr:colOff>
      <xdr:row>30</xdr:row>
      <xdr:rowOff>47625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5981700" y="4057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4</xdr:row>
      <xdr:rowOff>104775</xdr:rowOff>
    </xdr:from>
    <xdr:to>
      <xdr:col>8</xdr:col>
      <xdr:colOff>514350</xdr:colOff>
      <xdr:row>5</xdr:row>
      <xdr:rowOff>142875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7429500" y="752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742950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6</xdr:row>
      <xdr:rowOff>104775</xdr:rowOff>
    </xdr:from>
    <xdr:to>
      <xdr:col>8</xdr:col>
      <xdr:colOff>514350</xdr:colOff>
      <xdr:row>8</xdr:row>
      <xdr:rowOff>38100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7429500" y="1133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6</xdr:row>
      <xdr:rowOff>104775</xdr:rowOff>
    </xdr:from>
    <xdr:to>
      <xdr:col>8</xdr:col>
      <xdr:colOff>514350</xdr:colOff>
      <xdr:row>8</xdr:row>
      <xdr:rowOff>38100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7429500" y="1133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742950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742950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742950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400050</xdr:colOff>
      <xdr:row>11</xdr:row>
      <xdr:rowOff>152400</xdr:rowOff>
    </xdr:from>
    <xdr:ext cx="76200" cy="200025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7391400" y="1771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5</xdr:row>
      <xdr:rowOff>104775</xdr:rowOff>
    </xdr:from>
    <xdr:to>
      <xdr:col>8</xdr:col>
      <xdr:colOff>514350</xdr:colOff>
      <xdr:row>7</xdr:row>
      <xdr:rowOff>142875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3811250" y="914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381125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4</xdr:row>
      <xdr:rowOff>104775</xdr:rowOff>
    </xdr:from>
    <xdr:to>
      <xdr:col>8</xdr:col>
      <xdr:colOff>514350</xdr:colOff>
      <xdr:row>5</xdr:row>
      <xdr:rowOff>142875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13811250" y="752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34</xdr:row>
      <xdr:rowOff>66675</xdr:rowOff>
    </xdr:from>
    <xdr:to>
      <xdr:col>5</xdr:col>
      <xdr:colOff>609600</xdr:colOff>
      <xdr:row>35</xdr:row>
      <xdr:rowOff>104775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9448800" y="4924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381000</xdr:colOff>
      <xdr:row>33</xdr:row>
      <xdr:rowOff>123825</xdr:rowOff>
    </xdr:from>
    <xdr:to>
      <xdr:col>5</xdr:col>
      <xdr:colOff>457200</xdr:colOff>
      <xdr:row>35</xdr:row>
      <xdr:rowOff>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9296400" y="4819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1381125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333375</xdr:colOff>
      <xdr:row>31</xdr:row>
      <xdr:rowOff>9525</xdr:rowOff>
    </xdr:from>
    <xdr:to>
      <xdr:col>7</xdr:col>
      <xdr:colOff>409575</xdr:colOff>
      <xdr:row>32</xdr:row>
      <xdr:rowOff>47625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12220575" y="438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4</xdr:row>
      <xdr:rowOff>104775</xdr:rowOff>
    </xdr:from>
    <xdr:to>
      <xdr:col>8</xdr:col>
      <xdr:colOff>514350</xdr:colOff>
      <xdr:row>5</xdr:row>
      <xdr:rowOff>142875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13811250" y="752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1381125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6</xdr:row>
      <xdr:rowOff>104775</xdr:rowOff>
    </xdr:from>
    <xdr:to>
      <xdr:col>8</xdr:col>
      <xdr:colOff>514350</xdr:colOff>
      <xdr:row>8</xdr:row>
      <xdr:rowOff>38100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1381125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6</xdr:row>
      <xdr:rowOff>104775</xdr:rowOff>
    </xdr:from>
    <xdr:to>
      <xdr:col>8</xdr:col>
      <xdr:colOff>514350</xdr:colOff>
      <xdr:row>8</xdr:row>
      <xdr:rowOff>38100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 bwMode="auto">
        <a:xfrm>
          <a:off x="1381125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1381125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 bwMode="auto">
        <a:xfrm>
          <a:off x="1381125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 bwMode="auto">
        <a:xfrm>
          <a:off x="1381125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400050</xdr:colOff>
      <xdr:row>11</xdr:row>
      <xdr:rowOff>152400</xdr:rowOff>
    </xdr:from>
    <xdr:ext cx="76200" cy="200025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 bwMode="auto">
        <a:xfrm>
          <a:off x="13773150" y="1771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5</xdr:row>
      <xdr:rowOff>104775</xdr:rowOff>
    </xdr:from>
    <xdr:to>
      <xdr:col>8</xdr:col>
      <xdr:colOff>514350</xdr:colOff>
      <xdr:row>7</xdr:row>
      <xdr:rowOff>142875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3811250" y="914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381125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4</xdr:row>
      <xdr:rowOff>104775</xdr:rowOff>
    </xdr:from>
    <xdr:to>
      <xdr:col>8</xdr:col>
      <xdr:colOff>514350</xdr:colOff>
      <xdr:row>5</xdr:row>
      <xdr:rowOff>142875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13811250" y="752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34</xdr:row>
      <xdr:rowOff>66675</xdr:rowOff>
    </xdr:from>
    <xdr:to>
      <xdr:col>5</xdr:col>
      <xdr:colOff>609600</xdr:colOff>
      <xdr:row>35</xdr:row>
      <xdr:rowOff>104775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9448800" y="4924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381000</xdr:colOff>
      <xdr:row>33</xdr:row>
      <xdr:rowOff>123825</xdr:rowOff>
    </xdr:from>
    <xdr:to>
      <xdr:col>5</xdr:col>
      <xdr:colOff>457200</xdr:colOff>
      <xdr:row>35</xdr:row>
      <xdr:rowOff>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9296400" y="4819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1381125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333375</xdr:colOff>
      <xdr:row>31</xdr:row>
      <xdr:rowOff>9525</xdr:rowOff>
    </xdr:from>
    <xdr:to>
      <xdr:col>7</xdr:col>
      <xdr:colOff>409575</xdr:colOff>
      <xdr:row>32</xdr:row>
      <xdr:rowOff>47625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12220575" y="438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4</xdr:row>
      <xdr:rowOff>104775</xdr:rowOff>
    </xdr:from>
    <xdr:to>
      <xdr:col>8</xdr:col>
      <xdr:colOff>514350</xdr:colOff>
      <xdr:row>5</xdr:row>
      <xdr:rowOff>142875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13811250" y="752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2</xdr:row>
      <xdr:rowOff>104775</xdr:rowOff>
    </xdr:from>
    <xdr:to>
      <xdr:col>8</xdr:col>
      <xdr:colOff>514350</xdr:colOff>
      <xdr:row>3</xdr:row>
      <xdr:rowOff>142875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13811250" y="428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6</xdr:row>
      <xdr:rowOff>104775</xdr:rowOff>
    </xdr:from>
    <xdr:to>
      <xdr:col>8</xdr:col>
      <xdr:colOff>514350</xdr:colOff>
      <xdr:row>8</xdr:row>
      <xdr:rowOff>38100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1381125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6</xdr:row>
      <xdr:rowOff>104775</xdr:rowOff>
    </xdr:from>
    <xdr:to>
      <xdr:col>8</xdr:col>
      <xdr:colOff>514350</xdr:colOff>
      <xdr:row>8</xdr:row>
      <xdr:rowOff>38100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 bwMode="auto">
        <a:xfrm>
          <a:off x="1381125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1381125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 bwMode="auto">
        <a:xfrm>
          <a:off x="1381125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438150</xdr:colOff>
      <xdr:row>3</xdr:row>
      <xdr:rowOff>104775</xdr:rowOff>
    </xdr:from>
    <xdr:ext cx="76200" cy="200025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 bwMode="auto">
        <a:xfrm>
          <a:off x="13811250" y="590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400050</xdr:colOff>
      <xdr:row>11</xdr:row>
      <xdr:rowOff>152400</xdr:rowOff>
    </xdr:from>
    <xdr:ext cx="76200" cy="200025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 bwMode="auto">
        <a:xfrm>
          <a:off x="13773150" y="1771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E1DAA-AFDC-4C77-BEF2-7631901922EC}">
  <sheetPr>
    <pageSetUpPr fitToPage="1"/>
  </sheetPr>
  <dimension ref="A1:P61"/>
  <sheetViews>
    <sheetView tabSelected="1" workbookViewId="0">
      <pane xSplit="1" ySplit="1" topLeftCell="E2" activePane="bottomRight" state="frozen"/>
      <selection pane="bottomRight" activeCell="M18" sqref="M18:M25"/>
      <selection pane="bottomLeft" activeCell="A2" sqref="A2"/>
      <selection pane="topRight" activeCell="B1" sqref="B1"/>
    </sheetView>
  </sheetViews>
  <sheetFormatPr defaultRowHeight="12.75"/>
  <cols>
    <col min="1" max="1" width="44.5703125" bestFit="1" customWidth="1"/>
    <col min="2" max="13" width="22.28515625" customWidth="1"/>
  </cols>
  <sheetData>
    <row r="1" spans="1:14">
      <c r="A1" s="1"/>
      <c r="B1" s="3" t="s">
        <v>0</v>
      </c>
      <c r="C1" s="2" t="s">
        <v>1</v>
      </c>
      <c r="D1" s="3" t="s">
        <v>2</v>
      </c>
      <c r="E1" s="4" t="s">
        <v>3</v>
      </c>
      <c r="F1" s="5" t="s">
        <v>4</v>
      </c>
      <c r="G1" s="6" t="s">
        <v>5</v>
      </c>
      <c r="H1" s="5" t="s">
        <v>6</v>
      </c>
      <c r="I1" s="7" t="s">
        <v>7</v>
      </c>
      <c r="J1" s="1"/>
      <c r="K1" s="1"/>
      <c r="L1" s="54"/>
      <c r="M1" s="1"/>
    </row>
    <row r="2" spans="1:14">
      <c r="A2" s="1" t="s">
        <v>8</v>
      </c>
      <c r="B2" s="58">
        <f>0.6*(12728*4)+(1.25*35000)</f>
        <v>74297.2</v>
      </c>
      <c r="C2" s="59">
        <f>0.05*(12728*4)</f>
        <v>2545.6000000000004</v>
      </c>
      <c r="D2" s="58">
        <v>0</v>
      </c>
      <c r="E2" s="60">
        <v>0</v>
      </c>
      <c r="F2" s="61">
        <v>0</v>
      </c>
      <c r="G2" s="62">
        <f>0.35*(12728*4)+(1.25*30000)</f>
        <v>55319.199999999997</v>
      </c>
      <c r="H2" s="61">
        <v>0</v>
      </c>
      <c r="I2" s="62">
        <f>SUM(B2:H2)</f>
        <v>132162</v>
      </c>
      <c r="J2" s="1"/>
      <c r="K2" s="1"/>
      <c r="L2" s="1"/>
      <c r="M2" s="1"/>
    </row>
    <row r="3" spans="1:14">
      <c r="A3" s="1" t="s">
        <v>9</v>
      </c>
      <c r="B3" s="58">
        <f>0.54*I3</f>
        <v>20250</v>
      </c>
      <c r="C3" s="59">
        <v>0</v>
      </c>
      <c r="D3" s="58">
        <v>0</v>
      </c>
      <c r="E3" s="60">
        <v>0</v>
      </c>
      <c r="F3" s="61">
        <v>0</v>
      </c>
      <c r="G3" s="62">
        <f>0.46*I3</f>
        <v>17250</v>
      </c>
      <c r="H3" s="61">
        <v>0</v>
      </c>
      <c r="I3" s="62">
        <f>1.25*30000</f>
        <v>37500</v>
      </c>
      <c r="J3" s="1"/>
      <c r="K3" s="1"/>
      <c r="L3" s="1"/>
      <c r="M3" s="1"/>
    </row>
    <row r="4" spans="1:14">
      <c r="A4" s="1" t="s">
        <v>10</v>
      </c>
      <c r="B4" s="58"/>
      <c r="C4" s="59"/>
      <c r="D4" s="58"/>
      <c r="E4" s="60">
        <f>9792*1.25</f>
        <v>12240</v>
      </c>
      <c r="F4" s="61"/>
      <c r="G4" s="62"/>
      <c r="H4" s="61"/>
      <c r="I4" s="62">
        <v>0</v>
      </c>
      <c r="J4" s="1"/>
      <c r="K4" s="1"/>
      <c r="L4" s="1"/>
      <c r="M4" s="1"/>
    </row>
    <row r="5" spans="1:14">
      <c r="A5" s="1" t="s">
        <v>11</v>
      </c>
      <c r="B5" s="58">
        <v>0</v>
      </c>
      <c r="C5" s="59">
        <v>0</v>
      </c>
      <c r="D5" s="58">
        <f>(1.25*2100*4)</f>
        <v>10500</v>
      </c>
      <c r="E5" s="60">
        <v>0</v>
      </c>
      <c r="F5" s="61">
        <v>0</v>
      </c>
      <c r="G5" s="62">
        <v>0</v>
      </c>
      <c r="H5" s="61">
        <v>0</v>
      </c>
      <c r="I5" s="62">
        <f>SUM(B5:H5)</f>
        <v>10500</v>
      </c>
      <c r="J5" s="1"/>
      <c r="K5" s="1"/>
      <c r="L5" s="1"/>
      <c r="M5" s="1"/>
    </row>
    <row r="6" spans="1:14">
      <c r="A6" s="1" t="s">
        <v>12</v>
      </c>
      <c r="B6" s="58">
        <v>49954</v>
      </c>
      <c r="C6" s="59">
        <v>7028</v>
      </c>
      <c r="D6" s="58">
        <v>2050</v>
      </c>
      <c r="E6" s="60">
        <v>2928</v>
      </c>
      <c r="F6" s="61">
        <v>2928</v>
      </c>
      <c r="G6" s="62">
        <v>13177</v>
      </c>
      <c r="H6" s="61">
        <v>5856</v>
      </c>
      <c r="I6" s="62">
        <f>SUM(B6:H6)</f>
        <v>83921</v>
      </c>
      <c r="J6" s="1"/>
      <c r="K6" s="1"/>
      <c r="L6" s="1"/>
      <c r="M6" s="1"/>
    </row>
    <row r="7" spans="1:14" hidden="1">
      <c r="A7" s="1" t="s">
        <v>13</v>
      </c>
      <c r="B7" s="58">
        <v>0</v>
      </c>
      <c r="C7" s="59">
        <v>0</v>
      </c>
      <c r="D7" s="58">
        <v>0</v>
      </c>
      <c r="E7" s="60">
        <v>0</v>
      </c>
      <c r="F7" s="61">
        <v>0</v>
      </c>
      <c r="G7" s="62">
        <v>0</v>
      </c>
      <c r="H7" s="61">
        <v>0</v>
      </c>
      <c r="I7" s="62"/>
      <c r="J7" s="1"/>
      <c r="K7" s="1"/>
      <c r="L7" s="1"/>
      <c r="M7" s="1"/>
    </row>
    <row r="8" spans="1:14">
      <c r="A8" s="1" t="s">
        <v>14</v>
      </c>
      <c r="B8" s="58">
        <v>11000</v>
      </c>
      <c r="C8" s="59">
        <v>0</v>
      </c>
      <c r="D8" s="58">
        <v>0</v>
      </c>
      <c r="E8" s="60">
        <v>0</v>
      </c>
      <c r="F8" s="61">
        <v>0</v>
      </c>
      <c r="G8" s="62">
        <v>9000</v>
      </c>
      <c r="H8" s="61">
        <v>0</v>
      </c>
      <c r="I8" s="62">
        <f>SUM(B8:H8)</f>
        <v>20000</v>
      </c>
      <c r="J8" s="1"/>
      <c r="K8" s="1"/>
      <c r="L8" s="1"/>
      <c r="M8" s="1"/>
    </row>
    <row r="9" spans="1:14" s="57" customFormat="1">
      <c r="A9" s="18" t="s">
        <v>15</v>
      </c>
      <c r="B9" s="79">
        <f t="shared" ref="B9:H9" si="0">SUM(B2:B8)</f>
        <v>155501.20000000001</v>
      </c>
      <c r="C9" s="81">
        <f t="shared" si="0"/>
        <v>9573.6</v>
      </c>
      <c r="D9" s="79">
        <f t="shared" si="0"/>
        <v>12550</v>
      </c>
      <c r="E9" s="82">
        <f t="shared" si="0"/>
        <v>15168</v>
      </c>
      <c r="F9" s="83">
        <f t="shared" si="0"/>
        <v>2928</v>
      </c>
      <c r="G9" s="80">
        <f t="shared" si="0"/>
        <v>94746.2</v>
      </c>
      <c r="H9" s="83">
        <f t="shared" si="0"/>
        <v>5856</v>
      </c>
      <c r="I9" s="80">
        <f>SUM(B9:H9)</f>
        <v>296323</v>
      </c>
      <c r="J9" s="18"/>
      <c r="K9" s="18"/>
      <c r="L9" s="18"/>
      <c r="M9" s="18"/>
    </row>
    <row r="10" spans="1:14">
      <c r="A10" s="1" t="s">
        <v>16</v>
      </c>
      <c r="B10" s="58">
        <f>(75/526)*I10</f>
        <v>1211.9771863117871</v>
      </c>
      <c r="C10" s="59">
        <f>(88/526)*I10</f>
        <v>1422.0532319391634</v>
      </c>
      <c r="D10" s="58">
        <f>(52/526)*I10</f>
        <v>840.30418250950572</v>
      </c>
      <c r="E10" s="60">
        <f>(102/526)*I10</f>
        <v>1648.2889733840304</v>
      </c>
      <c r="F10" s="61">
        <f>(124/526)*I10</f>
        <v>2003.8022813688212</v>
      </c>
      <c r="G10" s="62">
        <f>(59/526)*I10</f>
        <v>953.42205323193923</v>
      </c>
      <c r="H10" s="61">
        <f>(26/526)*I10</f>
        <v>420.15209125475286</v>
      </c>
      <c r="I10" s="62">
        <v>8500</v>
      </c>
      <c r="J10" s="1"/>
      <c r="K10" s="1"/>
      <c r="L10" s="1"/>
      <c r="M10" s="1"/>
    </row>
    <row r="11" spans="1:14">
      <c r="A11" s="1" t="s">
        <v>17</v>
      </c>
      <c r="B11" s="58">
        <f t="shared" ref="B11:B13" si="1">(75/526)*I11</f>
        <v>2887.3574144486693</v>
      </c>
      <c r="C11" s="59">
        <f>(88/526)*I11</f>
        <v>3387.8326996197716</v>
      </c>
      <c r="D11" s="58">
        <f>(52/526)*I11</f>
        <v>2001.9011406844106</v>
      </c>
      <c r="E11" s="60">
        <f>(102/526)*I11</f>
        <v>3926.80608365019</v>
      </c>
      <c r="F11" s="61">
        <f t="shared" ref="F11:F13" si="2">(124/526)*I11</f>
        <v>4773.764258555133</v>
      </c>
      <c r="G11" s="62">
        <f>(59/526)*I11</f>
        <v>2271.3878326996196</v>
      </c>
      <c r="H11" s="61">
        <f>(26/526)*I11</f>
        <v>1000.9505703422053</v>
      </c>
      <c r="I11" s="62">
        <f>3000*5*1.35</f>
        <v>20250</v>
      </c>
      <c r="J11" s="1"/>
      <c r="K11" s="1"/>
      <c r="L11" s="1"/>
      <c r="M11" s="1"/>
      <c r="N11" s="52"/>
    </row>
    <row r="12" spans="1:14">
      <c r="A12" s="54" t="s">
        <v>18</v>
      </c>
      <c r="B12" s="58">
        <f t="shared" si="1"/>
        <v>5038.9733840304179</v>
      </c>
      <c r="C12" s="59">
        <f>(88/526)*I12</f>
        <v>5912.3954372623566</v>
      </c>
      <c r="D12" s="58">
        <f>(52/526)*I12</f>
        <v>3493.6882129277565</v>
      </c>
      <c r="E12" s="60">
        <f>(102/526)*I12</f>
        <v>6853.0038022813687</v>
      </c>
      <c r="F12" s="61">
        <f t="shared" si="2"/>
        <v>8331.1026615969586</v>
      </c>
      <c r="G12" s="62">
        <f>(59/526)*I12</f>
        <v>3963.9923954372625</v>
      </c>
      <c r="H12" s="61">
        <f>(26/526)*I12</f>
        <v>1746.8441064638782</v>
      </c>
      <c r="I12" s="63">
        <f>(1957+399)*1.25*12</f>
        <v>35340</v>
      </c>
      <c r="J12" s="1"/>
      <c r="K12" s="1"/>
      <c r="L12" s="1"/>
      <c r="M12" s="1"/>
    </row>
    <row r="13" spans="1:14">
      <c r="A13" s="1" t="s">
        <v>19</v>
      </c>
      <c r="B13" s="58">
        <f t="shared" si="1"/>
        <v>1069.3916349809886</v>
      </c>
      <c r="C13" s="59">
        <f>(88/526)*I13</f>
        <v>1254.7528517110266</v>
      </c>
      <c r="D13" s="58">
        <f>(52/526)*I13</f>
        <v>741.44486692015209</v>
      </c>
      <c r="E13" s="60">
        <f>(102/526)*I13</f>
        <v>1454.3726235741444</v>
      </c>
      <c r="F13" s="61">
        <f t="shared" si="2"/>
        <v>1768.0608365019011</v>
      </c>
      <c r="G13" s="62">
        <f>(59/526)*I13</f>
        <v>841.25475285171103</v>
      </c>
      <c r="H13" s="61">
        <f>(26/526)*I13</f>
        <v>370.72243346007605</v>
      </c>
      <c r="I13" s="62">
        <f>6000*1.25</f>
        <v>7500</v>
      </c>
      <c r="J13" s="1"/>
      <c r="K13" s="1"/>
      <c r="L13" s="1"/>
      <c r="M13" s="1"/>
    </row>
    <row r="14" spans="1:14" s="57" customFormat="1">
      <c r="A14" s="18" t="s">
        <v>15</v>
      </c>
      <c r="B14" s="79">
        <f t="shared" ref="B14:H14" si="3">SUM(B9:B13)</f>
        <v>165708.8996197719</v>
      </c>
      <c r="C14" s="79">
        <f t="shared" si="3"/>
        <v>21550.63422053232</v>
      </c>
      <c r="D14" s="79">
        <f t="shared" si="3"/>
        <v>19627.338403041824</v>
      </c>
      <c r="E14" s="79">
        <f t="shared" si="3"/>
        <v>29050.471482889734</v>
      </c>
      <c r="F14" s="79">
        <f t="shared" si="3"/>
        <v>19804.730038022812</v>
      </c>
      <c r="G14" s="79">
        <f t="shared" si="3"/>
        <v>102776.25703422054</v>
      </c>
      <c r="H14" s="79">
        <f t="shared" si="3"/>
        <v>9394.6692015209119</v>
      </c>
      <c r="I14" s="80">
        <f>SUM(B14:H14)</f>
        <v>367913.00000000006</v>
      </c>
      <c r="J14" s="18"/>
      <c r="K14" s="18"/>
      <c r="L14" s="18"/>
      <c r="M14" s="18"/>
    </row>
    <row r="15" spans="1:14" s="57" customFormat="1">
      <c r="A15" s="18"/>
      <c r="B15" s="79"/>
      <c r="C15" s="79"/>
      <c r="D15" s="79"/>
      <c r="E15" s="79"/>
      <c r="F15" s="79"/>
      <c r="G15" s="79"/>
      <c r="H15" s="79"/>
      <c r="I15" s="80"/>
      <c r="J15" s="18"/>
      <c r="K15" s="18"/>
      <c r="L15" s="18"/>
      <c r="M15" s="18"/>
    </row>
    <row r="16" spans="1:14" s="84" customFormat="1">
      <c r="A16" s="84" t="s">
        <v>20</v>
      </c>
      <c r="B16" s="85"/>
      <c r="C16" s="85"/>
      <c r="D16" s="85"/>
      <c r="E16" s="85"/>
      <c r="F16" s="85"/>
      <c r="G16" s="85"/>
      <c r="H16" s="85"/>
      <c r="I16" s="85"/>
    </row>
    <row r="17" spans="1:16">
      <c r="A17" s="20" t="s">
        <v>21</v>
      </c>
      <c r="B17" s="64"/>
      <c r="C17" s="64"/>
      <c r="D17" s="64"/>
      <c r="E17" s="64"/>
      <c r="F17" s="64"/>
      <c r="G17" s="64"/>
      <c r="H17" s="64"/>
      <c r="I17" s="64"/>
      <c r="J17" s="22" t="s">
        <v>22</v>
      </c>
      <c r="K17" s="22" t="s">
        <v>23</v>
      </c>
      <c r="L17" s="22">
        <v>2024</v>
      </c>
      <c r="M17" s="22">
        <v>2023</v>
      </c>
      <c r="N17" s="22" t="s">
        <v>24</v>
      </c>
    </row>
    <row r="18" spans="1:16">
      <c r="A18" s="33" t="s">
        <v>25</v>
      </c>
      <c r="B18" s="65">
        <f>(B14*22/75)</f>
        <v>48607.94388846642</v>
      </c>
      <c r="C18" s="65">
        <f>C14*22/88</f>
        <v>5387.65855513308</v>
      </c>
      <c r="D18" s="65">
        <f>D14*22/52</f>
        <v>8303.8739397484642</v>
      </c>
      <c r="E18" s="66" t="s">
        <v>26</v>
      </c>
      <c r="F18" s="65">
        <f>F14*22/124</f>
        <v>3513.7424261008218</v>
      </c>
      <c r="G18" s="66" t="s">
        <v>26</v>
      </c>
      <c r="H18" s="66" t="s">
        <v>26</v>
      </c>
      <c r="I18" s="66"/>
      <c r="J18" s="65">
        <f>SUM(B18:I18)/22</f>
        <v>2991.5099458840359</v>
      </c>
      <c r="K18" s="38">
        <f>J18/12</f>
        <v>249.29249549033634</v>
      </c>
      <c r="L18" s="38">
        <v>237.85763230682605</v>
      </c>
      <c r="M18" s="38">
        <v>216.9098480951229</v>
      </c>
      <c r="N18" s="49">
        <f>J18/2</f>
        <v>1495.754972942018</v>
      </c>
      <c r="O18" s="49"/>
    </row>
    <row r="19" spans="1:16">
      <c r="A19" s="23" t="s">
        <v>27</v>
      </c>
      <c r="B19" s="67">
        <f>(B14*15/75)</f>
        <v>33141.779923954375</v>
      </c>
      <c r="C19" s="67">
        <f>C14*15/88</f>
        <v>3673.4035603180091</v>
      </c>
      <c r="D19" s="67">
        <f>D14*15/52</f>
        <v>5661.7322316466798</v>
      </c>
      <c r="E19" s="67">
        <f>E14*15/102</f>
        <v>4272.1281592484902</v>
      </c>
      <c r="F19" s="67">
        <f>F14*15/124</f>
        <v>2395.7334723414692</v>
      </c>
      <c r="G19" s="68" t="s">
        <v>26</v>
      </c>
      <c r="H19" s="68" t="s">
        <v>26</v>
      </c>
      <c r="I19" s="68"/>
      <c r="J19" s="67">
        <f>SUM(B19:I19)/15</f>
        <v>3276.3184898339346</v>
      </c>
      <c r="K19" s="27">
        <f>J19/12</f>
        <v>273.02654081949453</v>
      </c>
      <c r="L19" s="27">
        <v>260.8545848901407</v>
      </c>
      <c r="M19" s="27">
        <v>228.9220447513519</v>
      </c>
      <c r="N19" s="49">
        <f t="shared" ref="N19:N25" si="4">J19/2</f>
        <v>1638.1592449169673</v>
      </c>
      <c r="O19" s="49"/>
    </row>
    <row r="20" spans="1:16">
      <c r="A20" s="28" t="s">
        <v>28</v>
      </c>
      <c r="B20" s="69">
        <f>B14*15/75</f>
        <v>33141.779923954375</v>
      </c>
      <c r="C20" s="69">
        <f>C14*15/88</f>
        <v>3673.4035603180091</v>
      </c>
      <c r="D20" s="69">
        <f>D14*15/52</f>
        <v>5661.7322316466798</v>
      </c>
      <c r="E20" s="69">
        <f>E14*15/102</f>
        <v>4272.1281592484902</v>
      </c>
      <c r="F20" s="69">
        <f>F14*15/124</f>
        <v>2395.7334723414692</v>
      </c>
      <c r="G20" s="70" t="s">
        <v>26</v>
      </c>
      <c r="H20" s="70" t="s">
        <v>26</v>
      </c>
      <c r="I20" s="70"/>
      <c r="J20" s="69">
        <f>SUM(B20:H20)/15</f>
        <v>3276.3184898339346</v>
      </c>
      <c r="K20" s="32">
        <f>J20/12</f>
        <v>273.02654081949453</v>
      </c>
      <c r="L20" s="32">
        <v>260.8545848901407</v>
      </c>
      <c r="M20" s="32">
        <v>228.9220447513519</v>
      </c>
      <c r="N20" s="49">
        <f t="shared" si="4"/>
        <v>1638.1592449169673</v>
      </c>
      <c r="O20" s="49"/>
    </row>
    <row r="21" spans="1:16">
      <c r="A21" s="33" t="s">
        <v>29</v>
      </c>
      <c r="B21" s="65">
        <f>B14*23/75</f>
        <v>50817.395883396712</v>
      </c>
      <c r="C21" s="66" t="s">
        <v>26</v>
      </c>
      <c r="D21" s="66" t="s">
        <v>26</v>
      </c>
      <c r="E21" s="65">
        <f>E14*23/102</f>
        <v>6550.5965108476848</v>
      </c>
      <c r="F21" s="65">
        <f>F14*23/124</f>
        <v>3673.4579909235863</v>
      </c>
      <c r="G21" s="66" t="s">
        <v>26</v>
      </c>
      <c r="H21" s="66" t="s">
        <v>26</v>
      </c>
      <c r="I21" s="66"/>
      <c r="J21" s="65">
        <f>SUM(B21:H21)</f>
        <v>61041.450385167984</v>
      </c>
      <c r="K21" s="38">
        <f>J21/12</f>
        <v>5086.7875320973317</v>
      </c>
      <c r="L21" s="38">
        <v>4855.125697571927</v>
      </c>
      <c r="M21" s="38">
        <v>4326.3653090963753</v>
      </c>
      <c r="N21" s="49">
        <f t="shared" si="4"/>
        <v>30520.725192583992</v>
      </c>
      <c r="O21" s="49"/>
      <c r="P21" s="49"/>
    </row>
    <row r="22" spans="1:16">
      <c r="A22" s="22"/>
      <c r="B22" s="64"/>
      <c r="C22" s="64"/>
      <c r="D22" s="64"/>
      <c r="E22" s="71"/>
      <c r="F22" s="71"/>
      <c r="G22" s="64"/>
      <c r="H22" s="64"/>
      <c r="I22" s="64"/>
      <c r="J22" s="71"/>
      <c r="K22" s="42"/>
      <c r="L22" s="42"/>
      <c r="M22" s="42"/>
      <c r="N22" s="49">
        <f t="shared" si="4"/>
        <v>0</v>
      </c>
    </row>
    <row r="23" spans="1:16">
      <c r="A23" s="43" t="s">
        <v>30</v>
      </c>
      <c r="B23" s="72" t="s">
        <v>26</v>
      </c>
      <c r="C23" s="72" t="s">
        <v>26</v>
      </c>
      <c r="D23" s="72" t="s">
        <v>26</v>
      </c>
      <c r="E23" s="73">
        <f>E14*23/102</f>
        <v>6550.5965108476848</v>
      </c>
      <c r="F23" s="73">
        <f>F14*23/124</f>
        <v>3673.4579909235863</v>
      </c>
      <c r="G23" s="73">
        <f>G14*23/59</f>
        <v>40065.320538763946</v>
      </c>
      <c r="H23" s="72" t="s">
        <v>26</v>
      </c>
      <c r="I23" s="72"/>
      <c r="J23" s="73">
        <f>SUM(B23:H23)</f>
        <v>50289.375040535218</v>
      </c>
      <c r="K23" s="48">
        <f>J23/12</f>
        <v>4190.7812533779352</v>
      </c>
      <c r="L23" s="48">
        <v>4112.6389179109101</v>
      </c>
      <c r="M23" s="48">
        <v>3736.1410503393131</v>
      </c>
      <c r="N23" s="49">
        <f t="shared" si="4"/>
        <v>25144.687520267609</v>
      </c>
      <c r="O23" s="49"/>
      <c r="P23" s="49"/>
    </row>
    <row r="24" spans="1:16">
      <c r="A24" s="22" t="s">
        <v>31</v>
      </c>
      <c r="B24" s="64" t="s">
        <v>26</v>
      </c>
      <c r="C24" s="71">
        <f>C14*26/88</f>
        <v>6367.2328378845496</v>
      </c>
      <c r="D24" s="64" t="s">
        <v>26</v>
      </c>
      <c r="E24" s="71">
        <f>E14*26/102</f>
        <v>7405.022142697384</v>
      </c>
      <c r="F24" s="71">
        <f>F14*26/124</f>
        <v>4152.6046853918797</v>
      </c>
      <c r="G24" s="71">
        <f>G14*26/59</f>
        <v>45291.231913385323</v>
      </c>
      <c r="H24" s="71">
        <f>H14*26/26</f>
        <v>9394.6692015209119</v>
      </c>
      <c r="I24" s="64"/>
      <c r="J24" s="71">
        <f>SUM(B24:H24)/26</f>
        <v>2792.7215684953867</v>
      </c>
      <c r="K24" s="42">
        <f>J24/12</f>
        <v>232.72679737461556</v>
      </c>
      <c r="L24" s="42">
        <v>225.63024329952793</v>
      </c>
      <c r="M24" s="42">
        <v>201.65955956013067</v>
      </c>
      <c r="N24" s="49">
        <f t="shared" si="4"/>
        <v>1396.3607842476933</v>
      </c>
      <c r="O24" s="49"/>
    </row>
    <row r="25" spans="1:16">
      <c r="A25" s="43" t="s">
        <v>32</v>
      </c>
      <c r="B25" s="72" t="s">
        <v>26</v>
      </c>
      <c r="C25" s="73">
        <f>C14*10/88</f>
        <v>2448.9357068786726</v>
      </c>
      <c r="D25" s="72" t="s">
        <v>26</v>
      </c>
      <c r="E25" s="72" t="s">
        <v>26</v>
      </c>
      <c r="F25" s="72" t="s">
        <v>26</v>
      </c>
      <c r="G25" s="73">
        <f>G14*10/59</f>
        <v>17419.704582071277</v>
      </c>
      <c r="H25" s="72" t="s">
        <v>26</v>
      </c>
      <c r="I25" s="72"/>
      <c r="J25" s="73">
        <f>SUM(B25:H25)</f>
        <v>19868.640288949951</v>
      </c>
      <c r="K25" s="48">
        <f>J25/12</f>
        <v>1655.7200240791626</v>
      </c>
      <c r="L25" s="48">
        <v>1623.3436012750437</v>
      </c>
      <c r="M25" s="48">
        <v>1503.8000080343211</v>
      </c>
      <c r="N25" s="49">
        <f t="shared" si="4"/>
        <v>9934.3201444749757</v>
      </c>
      <c r="O25" s="49"/>
    </row>
    <row r="26" spans="1:16" hidden="1">
      <c r="A26" s="43"/>
      <c r="B26" s="44">
        <v>75</v>
      </c>
      <c r="C26" s="45">
        <v>88</v>
      </c>
      <c r="D26" s="44">
        <v>52</v>
      </c>
      <c r="E26" s="44">
        <v>102</v>
      </c>
      <c r="F26" s="44">
        <v>124</v>
      </c>
      <c r="G26" s="45">
        <v>59</v>
      </c>
      <c r="H26" s="44">
        <v>26</v>
      </c>
      <c r="I26" s="46"/>
      <c r="J26" s="47">
        <f>SUM(B26:I26)</f>
        <v>526</v>
      </c>
      <c r="K26" s="48"/>
      <c r="L26" s="48"/>
      <c r="M26" s="48"/>
      <c r="N26" s="49"/>
      <c r="O26" s="49"/>
    </row>
    <row r="27" spans="1:16" hidden="1">
      <c r="A27" s="43"/>
      <c r="B27" s="56">
        <f t="shared" ref="B27:H27" si="5">B26/$J26</f>
        <v>0.14258555133079848</v>
      </c>
      <c r="C27" s="56">
        <f t="shared" si="5"/>
        <v>0.16730038022813687</v>
      </c>
      <c r="D27" s="56">
        <f t="shared" si="5"/>
        <v>9.8859315589353611E-2</v>
      </c>
      <c r="E27" s="56">
        <f t="shared" si="5"/>
        <v>0.19391634980988592</v>
      </c>
      <c r="F27" s="56">
        <f t="shared" si="5"/>
        <v>0.23574144486692014</v>
      </c>
      <c r="G27" s="56">
        <f t="shared" si="5"/>
        <v>0.11216730038022814</v>
      </c>
      <c r="H27" s="56">
        <f t="shared" si="5"/>
        <v>4.9429657794676805E-2</v>
      </c>
      <c r="I27" s="46"/>
      <c r="J27" s="47"/>
      <c r="K27" s="48"/>
      <c r="L27" s="48"/>
      <c r="M27" s="48"/>
      <c r="N27" s="49"/>
      <c r="O27" s="49"/>
    </row>
    <row r="28" spans="1:16" hidden="1">
      <c r="A28" s="43"/>
      <c r="B28" s="44"/>
      <c r="C28" s="45"/>
      <c r="D28" s="44"/>
      <c r="E28" s="44"/>
      <c r="F28" s="44"/>
      <c r="G28" s="45"/>
      <c r="H28" s="44"/>
      <c r="I28" s="46"/>
      <c r="J28" s="47"/>
      <c r="K28" s="48"/>
      <c r="L28" s="48"/>
      <c r="M28" s="48"/>
      <c r="N28" s="49"/>
      <c r="O28" s="49"/>
    </row>
    <row r="29" spans="1:16">
      <c r="A29" s="43"/>
      <c r="B29" s="44"/>
      <c r="C29" s="45"/>
      <c r="D29" s="44"/>
      <c r="E29" s="44"/>
      <c r="F29" s="44"/>
      <c r="G29" s="45"/>
      <c r="H29" s="44"/>
      <c r="I29" s="46"/>
      <c r="J29" s="47"/>
      <c r="K29" s="48"/>
      <c r="L29" s="48"/>
      <c r="M29" s="48"/>
      <c r="N29" s="49"/>
      <c r="O29" s="49"/>
    </row>
    <row r="30" spans="1:16">
      <c r="B30" s="51" t="s">
        <v>33</v>
      </c>
      <c r="C30" s="51" t="s">
        <v>34</v>
      </c>
      <c r="D30" s="51" t="s">
        <v>35</v>
      </c>
      <c r="E30" s="51" t="s">
        <v>36</v>
      </c>
      <c r="F30" s="51" t="s">
        <v>37</v>
      </c>
      <c r="G30" s="74" t="s">
        <v>38</v>
      </c>
      <c r="H30" s="74" t="s">
        <v>39</v>
      </c>
      <c r="I30" s="50"/>
      <c r="J30" s="50"/>
    </row>
    <row r="31" spans="1:16">
      <c r="A31" t="s">
        <v>40</v>
      </c>
      <c r="B31">
        <v>22</v>
      </c>
      <c r="C31">
        <v>15</v>
      </c>
      <c r="D31">
        <v>15</v>
      </c>
      <c r="E31" s="51">
        <v>23</v>
      </c>
      <c r="F31" s="51"/>
      <c r="G31" s="51"/>
      <c r="H31" s="51"/>
      <c r="I31" s="51">
        <f>SUM(B31:H31)</f>
        <v>75</v>
      </c>
      <c r="J31" s="51"/>
    </row>
    <row r="32" spans="1:16">
      <c r="A32" t="s">
        <v>41</v>
      </c>
      <c r="B32">
        <v>22</v>
      </c>
      <c r="C32">
        <v>15</v>
      </c>
      <c r="D32">
        <v>15</v>
      </c>
      <c r="E32" s="51"/>
      <c r="F32" s="51"/>
      <c r="G32" s="51">
        <v>26</v>
      </c>
      <c r="H32" s="51">
        <v>10</v>
      </c>
      <c r="I32" s="51">
        <f t="shared" ref="I32:I37" si="6">SUM(B32:H32)</f>
        <v>88</v>
      </c>
      <c r="J32" s="51"/>
    </row>
    <row r="33" spans="1:11">
      <c r="A33" t="s">
        <v>42</v>
      </c>
      <c r="B33">
        <v>22</v>
      </c>
      <c r="C33">
        <v>15</v>
      </c>
      <c r="D33">
        <v>15</v>
      </c>
      <c r="E33" s="51"/>
      <c r="F33" s="51"/>
      <c r="G33" s="51"/>
      <c r="H33" s="51"/>
      <c r="I33" s="51">
        <f t="shared" si="6"/>
        <v>52</v>
      </c>
      <c r="J33" s="51">
        <f>12278*4</f>
        <v>49112</v>
      </c>
      <c r="K33" s="52"/>
    </row>
    <row r="34" spans="1:11">
      <c r="A34" t="s">
        <v>43</v>
      </c>
      <c r="C34">
        <v>15</v>
      </c>
      <c r="D34">
        <v>15</v>
      </c>
      <c r="E34" s="51">
        <v>23</v>
      </c>
      <c r="F34" s="51">
        <v>23</v>
      </c>
      <c r="G34" s="51">
        <v>26</v>
      </c>
      <c r="H34" s="51"/>
      <c r="I34" s="51">
        <f t="shared" si="6"/>
        <v>102</v>
      </c>
      <c r="J34" s="88"/>
    </row>
    <row r="35" spans="1:11">
      <c r="A35" t="s">
        <v>44</v>
      </c>
      <c r="B35">
        <v>22</v>
      </c>
      <c r="C35">
        <v>15</v>
      </c>
      <c r="D35">
        <v>15</v>
      </c>
      <c r="E35" s="51">
        <v>23</v>
      </c>
      <c r="F35" s="51">
        <v>23</v>
      </c>
      <c r="G35" s="51">
        <v>26</v>
      </c>
      <c r="H35" s="51"/>
      <c r="I35" s="51">
        <f t="shared" si="6"/>
        <v>124</v>
      </c>
      <c r="J35" s="51"/>
      <c r="K35">
        <f>2603*22+2747*15+2747*15+51916+44834+2420*26+18046</f>
        <v>317392</v>
      </c>
    </row>
    <row r="36" spans="1:11">
      <c r="A36" t="s">
        <v>45</v>
      </c>
      <c r="E36" s="51"/>
      <c r="F36" s="51">
        <v>23</v>
      </c>
      <c r="G36" s="51">
        <v>26</v>
      </c>
      <c r="H36" s="51">
        <v>10</v>
      </c>
      <c r="I36" s="51">
        <f t="shared" si="6"/>
        <v>59</v>
      </c>
      <c r="J36" s="51"/>
    </row>
    <row r="37" spans="1:11">
      <c r="A37" t="s">
        <v>46</v>
      </c>
      <c r="E37" s="51"/>
      <c r="F37" s="51"/>
      <c r="G37" s="51">
        <v>26</v>
      </c>
      <c r="H37" s="51"/>
      <c r="I37" s="51">
        <f t="shared" si="6"/>
        <v>26</v>
      </c>
      <c r="J37" s="88"/>
    </row>
    <row r="38" spans="1:11">
      <c r="A38" s="53" t="s">
        <v>47</v>
      </c>
      <c r="B38" s="53">
        <f>SUM(B31:B37)</f>
        <v>88</v>
      </c>
      <c r="C38" s="53">
        <f t="shared" ref="C38:I38" si="7">SUM(C31:C37)</f>
        <v>75</v>
      </c>
      <c r="D38" s="53">
        <f t="shared" si="7"/>
        <v>75</v>
      </c>
      <c r="E38" s="53">
        <f t="shared" si="7"/>
        <v>69</v>
      </c>
      <c r="F38" s="53">
        <f t="shared" si="7"/>
        <v>69</v>
      </c>
      <c r="G38" s="53">
        <f t="shared" si="7"/>
        <v>130</v>
      </c>
      <c r="H38" s="53">
        <f t="shared" si="7"/>
        <v>20</v>
      </c>
      <c r="I38" s="53">
        <f t="shared" si="7"/>
        <v>526</v>
      </c>
    </row>
    <row r="39" spans="1:11">
      <c r="B39">
        <f>B38/$I$38</f>
        <v>0.16730038022813687</v>
      </c>
      <c r="C39">
        <f t="shared" ref="C39:I39" si="8">C38/$I$38</f>
        <v>0.14258555133079848</v>
      </c>
      <c r="D39">
        <f>D38/$I$38</f>
        <v>0.14258555133079848</v>
      </c>
      <c r="E39">
        <f>E38/$I$38</f>
        <v>0.13117870722433461</v>
      </c>
      <c r="F39">
        <f t="shared" si="8"/>
        <v>0.13117870722433461</v>
      </c>
      <c r="G39">
        <f t="shared" si="8"/>
        <v>0.24714828897338403</v>
      </c>
      <c r="H39">
        <f t="shared" si="8"/>
        <v>3.8022813688212927E-2</v>
      </c>
      <c r="I39">
        <f t="shared" si="8"/>
        <v>1</v>
      </c>
    </row>
    <row r="40" spans="1:11">
      <c r="B40">
        <f t="shared" ref="B40:I40" si="9">B39*SUM($I$10:$I$13)</f>
        <v>11977.034220532318</v>
      </c>
      <c r="C40">
        <f t="shared" si="9"/>
        <v>10207.699619771864</v>
      </c>
      <c r="D40">
        <f t="shared" si="9"/>
        <v>10207.699619771864</v>
      </c>
      <c r="E40">
        <f>E39*SUM($I$10:$I$13)</f>
        <v>9391.083650190114</v>
      </c>
      <c r="F40">
        <f t="shared" si="9"/>
        <v>9391.083650190114</v>
      </c>
      <c r="G40">
        <f t="shared" si="9"/>
        <v>17693.346007604563</v>
      </c>
      <c r="H40">
        <f t="shared" si="9"/>
        <v>2722.0532319391632</v>
      </c>
      <c r="I40">
        <f t="shared" si="9"/>
        <v>71590</v>
      </c>
    </row>
    <row r="41" spans="1:11">
      <c r="I41" s="51"/>
    </row>
    <row r="42" spans="1:11" hidden="1">
      <c r="B42" s="75"/>
      <c r="C42" s="75"/>
      <c r="D42" s="75"/>
      <c r="E42" s="75"/>
      <c r="F42" s="75"/>
      <c r="G42" s="75"/>
      <c r="H42" s="75"/>
      <c r="I42" s="75"/>
    </row>
    <row r="43" spans="1:11" hidden="1">
      <c r="A43" t="s">
        <v>40</v>
      </c>
      <c r="B43" s="78">
        <f>B31/$I31*SUM(B$10:B$13)</f>
        <v>2994.2585551330794</v>
      </c>
      <c r="C43" s="78">
        <f t="shared" ref="C43:H49" si="10">C31/$I31*SUM(C$10:C$13)</f>
        <v>2395.4068441064637</v>
      </c>
      <c r="D43" s="78">
        <f t="shared" si="10"/>
        <v>1415.4676806083651</v>
      </c>
      <c r="E43" s="78">
        <f t="shared" si="10"/>
        <v>4257.2912547528513</v>
      </c>
      <c r="F43" s="78">
        <f t="shared" si="10"/>
        <v>0</v>
      </c>
      <c r="G43" s="78">
        <f>G31/$I31*SUM(G$10:G$13)</f>
        <v>0</v>
      </c>
      <c r="H43" s="78">
        <f>H31/$I31*SUM(H$10:H$13)</f>
        <v>0</v>
      </c>
      <c r="I43" s="78"/>
    </row>
    <row r="44" spans="1:11" hidden="1">
      <c r="A44" t="s">
        <v>41</v>
      </c>
      <c r="B44" s="78">
        <f t="shared" ref="B44:B49" si="11">B32/$I32*SUM(B$10:B$13)</f>
        <v>2551.9249049429654</v>
      </c>
      <c r="C44" s="78">
        <f t="shared" si="10"/>
        <v>2041.5399239543722</v>
      </c>
      <c r="D44" s="78">
        <f t="shared" si="10"/>
        <v>1206.3645005184928</v>
      </c>
      <c r="E44" s="78">
        <f t="shared" si="10"/>
        <v>0</v>
      </c>
      <c r="F44" s="78">
        <f t="shared" si="10"/>
        <v>0</v>
      </c>
      <c r="G44" s="78">
        <f t="shared" si="10"/>
        <v>2372.5168510197027</v>
      </c>
      <c r="H44" s="78">
        <f t="shared" si="10"/>
        <v>402.12150017283091</v>
      </c>
      <c r="I44" s="78"/>
    </row>
    <row r="45" spans="1:11" hidden="1">
      <c r="A45" t="s">
        <v>42</v>
      </c>
      <c r="B45" s="78">
        <f t="shared" si="11"/>
        <v>4318.6421468265571</v>
      </c>
      <c r="C45" s="78">
        <f t="shared" si="10"/>
        <v>3454.9137174612451</v>
      </c>
      <c r="D45" s="78">
        <f t="shared" si="10"/>
        <v>2041.5399239543724</v>
      </c>
      <c r="E45" s="78">
        <f t="shared" si="10"/>
        <v>0</v>
      </c>
      <c r="F45" s="78">
        <f t="shared" si="10"/>
        <v>0</v>
      </c>
      <c r="G45" s="78">
        <f t="shared" si="10"/>
        <v>0</v>
      </c>
      <c r="H45" s="78">
        <f t="shared" si="10"/>
        <v>0</v>
      </c>
      <c r="I45" s="78"/>
    </row>
    <row r="46" spans="1:11" hidden="1">
      <c r="A46" t="s">
        <v>43</v>
      </c>
      <c r="B46" s="78">
        <f t="shared" si="11"/>
        <v>0</v>
      </c>
      <c r="C46" s="78">
        <f t="shared" si="10"/>
        <v>1761.3285618429879</v>
      </c>
      <c r="D46" s="78">
        <f t="shared" si="10"/>
        <v>1040.7850592708567</v>
      </c>
      <c r="E46" s="78">
        <f t="shared" si="10"/>
        <v>3130.361216730038</v>
      </c>
      <c r="F46" s="78">
        <f t="shared" si="10"/>
        <v>3805.5371654365163</v>
      </c>
      <c r="G46" s="78">
        <f t="shared" si="10"/>
        <v>2046.8772832326845</v>
      </c>
      <c r="H46" s="78">
        <f t="shared" si="10"/>
        <v>0</v>
      </c>
      <c r="I46" s="78"/>
    </row>
    <row r="47" spans="1:11" hidden="1">
      <c r="A47" t="s">
        <v>44</v>
      </c>
      <c r="B47" s="78">
        <f t="shared" si="11"/>
        <v>1811.0434809272658</v>
      </c>
      <c r="C47" s="78">
        <f t="shared" si="10"/>
        <v>1448.8347847418127</v>
      </c>
      <c r="D47" s="78">
        <f t="shared" si="10"/>
        <v>856.12964552925303</v>
      </c>
      <c r="E47" s="78">
        <f t="shared" si="10"/>
        <v>2574.9745492456764</v>
      </c>
      <c r="F47" s="78">
        <f t="shared" si="10"/>
        <v>3130.3612167300375</v>
      </c>
      <c r="G47" s="78">
        <f t="shared" si="10"/>
        <v>1683.721636207531</v>
      </c>
      <c r="H47" s="78">
        <f t="shared" si="10"/>
        <v>0</v>
      </c>
      <c r="I47" s="78"/>
    </row>
    <row r="48" spans="1:11" hidden="1">
      <c r="A48" t="s">
        <v>45</v>
      </c>
      <c r="B48" s="78">
        <f t="shared" si="11"/>
        <v>0</v>
      </c>
      <c r="C48" s="78">
        <f t="shared" si="10"/>
        <v>0</v>
      </c>
      <c r="D48" s="78">
        <f t="shared" si="10"/>
        <v>0</v>
      </c>
      <c r="E48" s="78">
        <f t="shared" si="10"/>
        <v>0</v>
      </c>
      <c r="F48" s="78">
        <f t="shared" si="10"/>
        <v>6579.0642521105874</v>
      </c>
      <c r="G48" s="78">
        <f t="shared" si="10"/>
        <v>3538.6692015209123</v>
      </c>
      <c r="H48" s="78">
        <f t="shared" si="10"/>
        <v>599.77444093574786</v>
      </c>
      <c r="I48" s="78"/>
    </row>
    <row r="49" spans="1:10" hidden="1">
      <c r="A49" t="s">
        <v>46</v>
      </c>
      <c r="B49" s="78">
        <f t="shared" si="11"/>
        <v>0</v>
      </c>
      <c r="C49" s="78">
        <f t="shared" si="10"/>
        <v>0</v>
      </c>
      <c r="D49" s="78">
        <f t="shared" si="10"/>
        <v>0</v>
      </c>
      <c r="E49" s="78">
        <f t="shared" si="10"/>
        <v>0</v>
      </c>
      <c r="F49" s="78">
        <f t="shared" si="10"/>
        <v>0</v>
      </c>
      <c r="G49" s="78">
        <f>G37/$I37*SUM(G$10:G$13)</f>
        <v>8030.0570342205319</v>
      </c>
      <c r="H49" s="78">
        <f t="shared" si="10"/>
        <v>0</v>
      </c>
      <c r="I49" s="78"/>
    </row>
    <row r="50" spans="1:10" hidden="1">
      <c r="A50" s="53" t="s">
        <v>47</v>
      </c>
      <c r="B50" s="76">
        <f t="shared" ref="B50:H50" si="12">SUM(B43:B49)</f>
        <v>11675.869087829869</v>
      </c>
      <c r="C50" s="76">
        <f t="shared" si="12"/>
        <v>11102.023832106883</v>
      </c>
      <c r="D50" s="76">
        <f t="shared" si="12"/>
        <v>6560.2868098813397</v>
      </c>
      <c r="E50" s="76">
        <f t="shared" si="12"/>
        <v>9962.6270207285652</v>
      </c>
      <c r="F50" s="76">
        <f t="shared" si="12"/>
        <v>13514.962634277141</v>
      </c>
      <c r="G50" s="76">
        <f t="shared" si="12"/>
        <v>17671.842006201361</v>
      </c>
      <c r="H50" s="76">
        <f t="shared" si="12"/>
        <v>1001.8959411085788</v>
      </c>
      <c r="I50" s="76">
        <f>SUM(B50:H50)</f>
        <v>71489.50733213374</v>
      </c>
      <c r="J50" s="76">
        <f>I50/134</f>
        <v>533.50378606069955</v>
      </c>
    </row>
    <row r="51" spans="1:10" hidden="1">
      <c r="B51" s="76">
        <f>B50/22</f>
        <v>530.721322174085</v>
      </c>
      <c r="C51" s="76">
        <f t="shared" ref="C51:H51" si="13">C50/22</f>
        <v>504.63744691394919</v>
      </c>
      <c r="D51" s="76">
        <f t="shared" si="13"/>
        <v>298.19485499460637</v>
      </c>
      <c r="E51" s="76">
        <f t="shared" si="13"/>
        <v>452.84668276038934</v>
      </c>
      <c r="F51" s="76">
        <f t="shared" si="13"/>
        <v>614.31648337623369</v>
      </c>
      <c r="G51" s="76">
        <f t="shared" si="13"/>
        <v>803.26554573642545</v>
      </c>
      <c r="H51" s="76">
        <f t="shared" si="13"/>
        <v>45.540724595844488</v>
      </c>
      <c r="I51" s="78"/>
    </row>
    <row r="52" spans="1:10">
      <c r="B52" s="76"/>
      <c r="C52" s="76"/>
      <c r="D52" s="76"/>
      <c r="E52" s="76"/>
      <c r="F52" s="76"/>
      <c r="G52" s="76"/>
      <c r="H52" s="76"/>
    </row>
    <row r="53" spans="1:10">
      <c r="B53" s="76"/>
      <c r="C53" s="76"/>
      <c r="D53" s="76"/>
      <c r="E53" s="76"/>
      <c r="F53" s="76"/>
      <c r="G53" s="76"/>
      <c r="H53" s="76"/>
      <c r="I53" s="51"/>
    </row>
    <row r="54" spans="1:10">
      <c r="B54" s="76"/>
      <c r="C54" s="76"/>
      <c r="D54" s="76"/>
      <c r="E54" s="76"/>
      <c r="F54" s="76"/>
      <c r="G54" s="76"/>
      <c r="H54" s="76"/>
    </row>
    <row r="55" spans="1:10">
      <c r="B55" s="76"/>
      <c r="C55" s="76"/>
      <c r="D55" s="76"/>
      <c r="E55" s="76"/>
      <c r="F55" s="76"/>
      <c r="G55" s="76"/>
      <c r="H55" s="76"/>
      <c r="I55" s="51"/>
    </row>
    <row r="56" spans="1:10">
      <c r="B56" s="76"/>
      <c r="C56" s="76"/>
      <c r="D56" s="76"/>
      <c r="E56" s="76"/>
      <c r="F56" s="76"/>
      <c r="G56" s="76"/>
      <c r="H56" s="76"/>
    </row>
    <row r="57" spans="1:10">
      <c r="B57" s="76"/>
      <c r="C57" s="76"/>
      <c r="D57" s="76"/>
      <c r="E57" s="76"/>
      <c r="F57" s="76"/>
      <c r="G57" s="76">
        <f>37453+59490</f>
        <v>96943</v>
      </c>
      <c r="H57" s="89">
        <f>10/23</f>
        <v>0.43478260869565216</v>
      </c>
      <c r="I57" s="51"/>
    </row>
    <row r="58" spans="1:10">
      <c r="A58" s="51"/>
      <c r="B58" s="77"/>
      <c r="C58" s="77"/>
      <c r="D58" s="77"/>
      <c r="E58" s="77"/>
      <c r="F58" s="77"/>
      <c r="G58" s="90">
        <f>G2/G57</f>
        <v>0.57063635332102369</v>
      </c>
      <c r="H58" s="77"/>
    </row>
    <row r="59" spans="1:10">
      <c r="A59" s="51"/>
      <c r="B59" s="76"/>
      <c r="C59" s="76"/>
      <c r="D59" s="76"/>
      <c r="E59" s="76"/>
      <c r="F59" s="76"/>
      <c r="G59" s="76"/>
      <c r="H59" s="76"/>
      <c r="I59" s="51"/>
    </row>
    <row r="61" spans="1:10">
      <c r="I61" s="51"/>
    </row>
  </sheetData>
  <pageMargins left="0.74803149606299213" right="0.74803149606299213" top="0.98425196850393704" bottom="0.98425196850393704" header="0.51181102362204722" footer="0.51181102362204722"/>
  <pageSetup paperSize="9" scale="83" orientation="landscape"/>
  <headerFooter alignWithMargins="0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40"/>
  <sheetViews>
    <sheetView workbookViewId="0">
      <selection activeCell="I11" sqref="I11"/>
    </sheetView>
  </sheetViews>
  <sheetFormatPr defaultRowHeight="12.75"/>
  <cols>
    <col min="1" max="1" width="30.140625" customWidth="1"/>
    <col min="2" max="2" width="12.28515625" bestFit="1" customWidth="1"/>
    <col min="3" max="7" width="10.5703125" bestFit="1" customWidth="1"/>
    <col min="8" max="9" width="9.5703125" bestFit="1" customWidth="1"/>
  </cols>
  <sheetData>
    <row r="1" spans="1:17">
      <c r="A1" s="1"/>
      <c r="B1" s="3" t="s">
        <v>0</v>
      </c>
      <c r="C1" s="2" t="s">
        <v>1</v>
      </c>
      <c r="D1" s="3" t="s">
        <v>2</v>
      </c>
      <c r="E1" s="4" t="s">
        <v>3</v>
      </c>
      <c r="F1" s="5" t="s">
        <v>4</v>
      </c>
      <c r="G1" s="6" t="s">
        <v>5</v>
      </c>
      <c r="H1" s="5" t="s">
        <v>6</v>
      </c>
      <c r="I1" s="7" t="s">
        <v>7</v>
      </c>
      <c r="J1" s="1"/>
      <c r="K1" s="1"/>
      <c r="L1" s="1"/>
      <c r="M1" s="1"/>
    </row>
    <row r="2" spans="1:17">
      <c r="A2" s="1" t="s">
        <v>8</v>
      </c>
      <c r="B2" s="15">
        <f>26490+18000+15000</f>
        <v>59490</v>
      </c>
      <c r="C2" s="8">
        <v>2207</v>
      </c>
      <c r="D2" s="9">
        <v>0</v>
      </c>
      <c r="E2" s="10">
        <v>0</v>
      </c>
      <c r="F2" s="11">
        <v>0</v>
      </c>
      <c r="G2" s="12">
        <f>15453+12000+10000</f>
        <v>37453</v>
      </c>
      <c r="H2" s="11">
        <v>0</v>
      </c>
      <c r="I2" s="12">
        <f>SUM(B2:H2)</f>
        <v>99150</v>
      </c>
      <c r="J2" s="1"/>
      <c r="K2" s="1"/>
      <c r="L2" s="1"/>
      <c r="M2" s="1"/>
    </row>
    <row r="3" spans="1:17">
      <c r="A3" s="1" t="s">
        <v>9</v>
      </c>
      <c r="B3" s="9">
        <v>13000</v>
      </c>
      <c r="C3" s="13">
        <v>0</v>
      </c>
      <c r="D3" s="9">
        <v>0</v>
      </c>
      <c r="E3" s="10">
        <v>0</v>
      </c>
      <c r="F3" s="11">
        <v>0</v>
      </c>
      <c r="G3" s="14">
        <v>10000</v>
      </c>
      <c r="H3" s="11">
        <v>0</v>
      </c>
      <c r="I3" s="14">
        <f>SUM(B3:H3)</f>
        <v>23000</v>
      </c>
      <c r="J3" s="1"/>
      <c r="K3" s="1"/>
      <c r="L3" s="1"/>
      <c r="M3" s="1"/>
    </row>
    <row r="4" spans="1:17">
      <c r="A4" s="1" t="s">
        <v>10</v>
      </c>
      <c r="B4" s="9">
        <v>15500</v>
      </c>
      <c r="C4" s="13"/>
      <c r="D4" s="9"/>
      <c r="E4" s="10"/>
      <c r="F4" s="11"/>
      <c r="G4" s="14">
        <v>10000</v>
      </c>
      <c r="H4" s="11"/>
      <c r="I4" s="14">
        <f>SUM(B4:H4)</f>
        <v>25500</v>
      </c>
      <c r="J4" s="1"/>
      <c r="K4" s="1"/>
      <c r="L4" s="1"/>
      <c r="M4" s="1"/>
    </row>
    <row r="5" spans="1:17">
      <c r="A5" s="1" t="s">
        <v>11</v>
      </c>
      <c r="B5" s="9">
        <v>0</v>
      </c>
      <c r="C5" s="13">
        <v>0</v>
      </c>
      <c r="D5" s="15">
        <f>(2039*4)</f>
        <v>8156</v>
      </c>
      <c r="E5" s="10">
        <v>0</v>
      </c>
      <c r="F5" s="11">
        <v>0</v>
      </c>
      <c r="G5" s="14">
        <v>0</v>
      </c>
      <c r="H5" s="11">
        <v>0</v>
      </c>
      <c r="I5" s="12">
        <f>SUM(B5:H5)</f>
        <v>8156</v>
      </c>
      <c r="J5" s="1"/>
      <c r="K5" s="1"/>
      <c r="L5" s="1"/>
      <c r="M5" s="1"/>
    </row>
    <row r="6" spans="1:17">
      <c r="A6" s="1" t="s">
        <v>12</v>
      </c>
      <c r="B6" s="9">
        <v>34567</v>
      </c>
      <c r="C6" s="13">
        <v>4863</v>
      </c>
      <c r="D6" s="9">
        <v>1418</v>
      </c>
      <c r="E6" s="10">
        <v>2026</v>
      </c>
      <c r="F6" s="11">
        <v>2026</v>
      </c>
      <c r="G6" s="14">
        <v>9118</v>
      </c>
      <c r="H6" s="11">
        <v>4052</v>
      </c>
      <c r="I6" s="14">
        <f>SUM(B6:H6)</f>
        <v>58070</v>
      </c>
      <c r="J6" s="1"/>
      <c r="K6" s="1"/>
      <c r="L6" s="1"/>
      <c r="M6" s="1"/>
    </row>
    <row r="7" spans="1:17">
      <c r="A7" s="1" t="s">
        <v>16</v>
      </c>
      <c r="B7" s="15">
        <f>QUOTIENT(I7,7)</f>
        <v>857</v>
      </c>
      <c r="C7" s="8">
        <f>I7/7</f>
        <v>857.14285714285711</v>
      </c>
      <c r="D7" s="15">
        <f>I7/7</f>
        <v>857.14285714285711</v>
      </c>
      <c r="E7" s="16">
        <f>I7/7</f>
        <v>857.14285714285711</v>
      </c>
      <c r="F7" s="17">
        <f>I7/7</f>
        <v>857.14285714285711</v>
      </c>
      <c r="G7" s="12">
        <f>I7/7</f>
        <v>857.14285714285711</v>
      </c>
      <c r="H7" s="17">
        <f>QUOTIENT(I7,7)</f>
        <v>857</v>
      </c>
      <c r="I7" s="14">
        <v>6000</v>
      </c>
      <c r="J7" s="1"/>
      <c r="K7" s="1"/>
      <c r="L7" s="1"/>
      <c r="M7" s="1"/>
    </row>
    <row r="8" spans="1:17" hidden="1">
      <c r="A8" s="1" t="s">
        <v>13</v>
      </c>
      <c r="B8" s="15">
        <v>0</v>
      </c>
      <c r="C8" s="8">
        <v>0</v>
      </c>
      <c r="D8" s="15">
        <v>0</v>
      </c>
      <c r="E8" s="16">
        <v>0</v>
      </c>
      <c r="F8" s="17">
        <v>0</v>
      </c>
      <c r="G8" s="12">
        <v>0</v>
      </c>
      <c r="H8" s="17">
        <v>0</v>
      </c>
      <c r="I8" s="14"/>
      <c r="J8" s="1"/>
      <c r="K8" s="1"/>
      <c r="L8" s="1"/>
      <c r="M8" s="1"/>
    </row>
    <row r="9" spans="1:17">
      <c r="A9" s="1" t="s">
        <v>14</v>
      </c>
      <c r="B9" s="9">
        <v>10000</v>
      </c>
      <c r="C9" s="13">
        <v>0</v>
      </c>
      <c r="D9" s="9">
        <v>0</v>
      </c>
      <c r="E9" s="10">
        <v>0</v>
      </c>
      <c r="F9" s="11">
        <v>0</v>
      </c>
      <c r="G9" s="14">
        <v>10000</v>
      </c>
      <c r="H9" s="11">
        <v>0</v>
      </c>
      <c r="I9" s="12">
        <f>SUM(B9:H9)</f>
        <v>20000</v>
      </c>
      <c r="J9" s="1"/>
      <c r="K9" s="1"/>
      <c r="L9" s="1"/>
      <c r="M9" s="1"/>
    </row>
    <row r="10" spans="1:17">
      <c r="A10" s="18" t="s">
        <v>15</v>
      </c>
      <c r="B10" s="15">
        <f>SUM(B2:B9)</f>
        <v>133414</v>
      </c>
      <c r="C10" s="8">
        <f t="shared" ref="C10:H10" si="0">SUM(C2:C9)</f>
        <v>7927.1428571428569</v>
      </c>
      <c r="D10" s="15">
        <f t="shared" si="0"/>
        <v>10431.142857142857</v>
      </c>
      <c r="E10" s="16">
        <f t="shared" si="0"/>
        <v>2883.1428571428569</v>
      </c>
      <c r="F10" s="17">
        <f t="shared" si="0"/>
        <v>2883.1428571428569</v>
      </c>
      <c r="G10" s="12">
        <f>SUM(G2:G9)</f>
        <v>77428.142857142855</v>
      </c>
      <c r="H10" s="11">
        <f t="shared" si="0"/>
        <v>4909</v>
      </c>
      <c r="I10" s="12">
        <f>SUM(B10:H10)</f>
        <v>239875.71428571432</v>
      </c>
      <c r="J10" s="1"/>
      <c r="K10" s="1"/>
      <c r="L10" s="1"/>
      <c r="M10" s="1"/>
    </row>
    <row r="11" spans="1:17">
      <c r="A11" s="1" t="s">
        <v>17</v>
      </c>
      <c r="B11" s="15">
        <f>$I11/7</f>
        <v>3035.7142857142858</v>
      </c>
      <c r="C11" s="8">
        <f t="shared" ref="B11:H13" si="1">$I11/7</f>
        <v>3035.7142857142858</v>
      </c>
      <c r="D11" s="15">
        <f t="shared" si="1"/>
        <v>3035.7142857142858</v>
      </c>
      <c r="E11" s="16">
        <f t="shared" si="1"/>
        <v>3035.7142857142858</v>
      </c>
      <c r="F11" s="17">
        <f t="shared" si="1"/>
        <v>3035.7142857142858</v>
      </c>
      <c r="G11" s="19">
        <f t="shared" si="1"/>
        <v>3035.7142857142858</v>
      </c>
      <c r="H11" s="17">
        <f t="shared" si="1"/>
        <v>3035.7142857142858</v>
      </c>
      <c r="I11" s="14">
        <v>21250</v>
      </c>
      <c r="J11" s="1"/>
      <c r="K11" s="1"/>
      <c r="L11" s="1"/>
      <c r="M11" s="1"/>
    </row>
    <row r="12" spans="1:17">
      <c r="A12" s="54" t="s">
        <v>18</v>
      </c>
      <c r="B12" s="15">
        <f t="shared" si="1"/>
        <v>3571.4285714285716</v>
      </c>
      <c r="C12" s="8">
        <f t="shared" si="1"/>
        <v>3571.4285714285716</v>
      </c>
      <c r="D12" s="15">
        <f t="shared" si="1"/>
        <v>3571.4285714285716</v>
      </c>
      <c r="E12" s="16">
        <f t="shared" si="1"/>
        <v>3571.4285714285716</v>
      </c>
      <c r="F12" s="17">
        <f t="shared" si="1"/>
        <v>3571.4285714285716</v>
      </c>
      <c r="G12" s="19">
        <f t="shared" si="1"/>
        <v>3571.4285714285716</v>
      </c>
      <c r="H12" s="17">
        <f t="shared" si="1"/>
        <v>3571.4285714285716</v>
      </c>
      <c r="I12" s="55">
        <f>25000</f>
        <v>25000</v>
      </c>
      <c r="J12" s="1"/>
      <c r="K12" s="1"/>
      <c r="L12" s="1"/>
      <c r="M12" s="1"/>
    </row>
    <row r="13" spans="1:17">
      <c r="A13" s="1" t="s">
        <v>19</v>
      </c>
      <c r="B13" s="15">
        <f t="shared" si="1"/>
        <v>714.28571428571433</v>
      </c>
      <c r="C13" s="8">
        <f t="shared" si="1"/>
        <v>714.28571428571433</v>
      </c>
      <c r="D13" s="15">
        <f t="shared" si="1"/>
        <v>714.28571428571433</v>
      </c>
      <c r="E13" s="16">
        <f t="shared" si="1"/>
        <v>714.28571428571433</v>
      </c>
      <c r="F13" s="17">
        <f t="shared" si="1"/>
        <v>714.28571428571433</v>
      </c>
      <c r="G13" s="19">
        <f t="shared" si="1"/>
        <v>714.28571428571433</v>
      </c>
      <c r="H13" s="17">
        <f t="shared" si="1"/>
        <v>714.28571428571433</v>
      </c>
      <c r="I13" s="14">
        <v>5000</v>
      </c>
      <c r="J13" s="1"/>
      <c r="K13" s="1"/>
      <c r="L13" s="1"/>
      <c r="M13" s="1"/>
    </row>
    <row r="14" spans="1:17">
      <c r="A14" s="18" t="s">
        <v>15</v>
      </c>
      <c r="B14" s="15">
        <f t="shared" ref="B14:H14" si="2">SUM(B10:B13)</f>
        <v>140735.42857142858</v>
      </c>
      <c r="C14" s="15">
        <f t="shared" si="2"/>
        <v>15248.571428571428</v>
      </c>
      <c r="D14" s="15">
        <f t="shared" si="2"/>
        <v>17752.571428571428</v>
      </c>
      <c r="E14" s="15">
        <f t="shared" si="2"/>
        <v>10204.571428571428</v>
      </c>
      <c r="F14" s="15">
        <f t="shared" si="2"/>
        <v>10204.571428571428</v>
      </c>
      <c r="G14" s="15">
        <f t="shared" si="2"/>
        <v>84749.57142857142</v>
      </c>
      <c r="H14" s="15">
        <f t="shared" si="2"/>
        <v>12230.428571428572</v>
      </c>
      <c r="I14" s="12">
        <f>SUM(B14:H14)</f>
        <v>291125.71428571426</v>
      </c>
      <c r="J14" s="1"/>
      <c r="K14" s="1"/>
      <c r="L14" s="1"/>
      <c r="M14" s="1"/>
    </row>
    <row r="15" spans="1:17">
      <c r="A15" s="20" t="s">
        <v>21</v>
      </c>
      <c r="B15" s="21"/>
      <c r="C15" s="21"/>
      <c r="D15" s="21"/>
      <c r="E15" s="21"/>
      <c r="F15" s="21"/>
      <c r="G15" s="21"/>
      <c r="H15" s="21"/>
      <c r="I15" s="21"/>
      <c r="J15" s="22" t="s">
        <v>22</v>
      </c>
      <c r="K15" s="22" t="s">
        <v>23</v>
      </c>
      <c r="L15" s="22">
        <v>2018</v>
      </c>
      <c r="M15" s="22">
        <v>2017</v>
      </c>
      <c r="N15" s="57" t="s">
        <v>50</v>
      </c>
    </row>
    <row r="16" spans="1:17">
      <c r="A16" s="33" t="s">
        <v>25</v>
      </c>
      <c r="B16" s="34">
        <f>(B14*22/75)</f>
        <v>41282.392380952384</v>
      </c>
      <c r="C16" s="34">
        <f>C14*22/88</f>
        <v>3812.1428571428569</v>
      </c>
      <c r="D16" s="34">
        <f>D14*22/52</f>
        <v>7510.7032967032965</v>
      </c>
      <c r="E16" s="35" t="s">
        <v>26</v>
      </c>
      <c r="F16" s="34">
        <f>F14*22/124</f>
        <v>1810.4884792626729</v>
      </c>
      <c r="G16" s="36" t="s">
        <v>26</v>
      </c>
      <c r="H16" s="36" t="s">
        <v>26</v>
      </c>
      <c r="I16" s="36"/>
      <c r="J16" s="37">
        <f>SUM(B16:I16)/22</f>
        <v>2473.4421370027821</v>
      </c>
      <c r="K16" s="38">
        <f>J16/12</f>
        <v>206.12017808356518</v>
      </c>
      <c r="L16" s="38">
        <v>186.92849443567184</v>
      </c>
      <c r="M16" s="38">
        <v>199.06572070850294</v>
      </c>
      <c r="N16" s="49">
        <f>K16*6</f>
        <v>1236.7210685013911</v>
      </c>
      <c r="P16" s="49"/>
      <c r="Q16" s="49"/>
    </row>
    <row r="17" spans="1:18">
      <c r="A17" s="23" t="s">
        <v>27</v>
      </c>
      <c r="B17" s="24">
        <f>(B14*15/75)</f>
        <v>28147.085714285717</v>
      </c>
      <c r="C17" s="24">
        <f>C14*15/88</f>
        <v>2599.1883116883114</v>
      </c>
      <c r="D17" s="24">
        <f>D14*15/52</f>
        <v>5120.934065934066</v>
      </c>
      <c r="E17" s="24">
        <f>E14*15/102</f>
        <v>1500.672268907563</v>
      </c>
      <c r="F17" s="24">
        <f>F14*15/124</f>
        <v>1234.4239631336404</v>
      </c>
      <c r="G17" s="25" t="s">
        <v>26</v>
      </c>
      <c r="H17" s="25" t="s">
        <v>26</v>
      </c>
      <c r="I17" s="25"/>
      <c r="J17" s="26">
        <f>SUM(B17:I17)/15</f>
        <v>2573.4869549299528</v>
      </c>
      <c r="K17" s="27">
        <f>J17/12</f>
        <v>214.45724624416275</v>
      </c>
      <c r="L17" s="27">
        <v>194.77781749823021</v>
      </c>
      <c r="M17" s="27">
        <v>207.11007178226581</v>
      </c>
      <c r="N17" s="49">
        <f>K17*6</f>
        <v>1286.7434774649764</v>
      </c>
      <c r="P17" s="49"/>
      <c r="Q17" s="49"/>
    </row>
    <row r="18" spans="1:18">
      <c r="A18" s="28" t="s">
        <v>28</v>
      </c>
      <c r="B18" s="29">
        <f>B14*15/75</f>
        <v>28147.085714285717</v>
      </c>
      <c r="C18" s="29">
        <f>C14*15/88</f>
        <v>2599.1883116883114</v>
      </c>
      <c r="D18" s="29">
        <f>D14*15/52</f>
        <v>5120.934065934066</v>
      </c>
      <c r="E18" s="29">
        <f>E14*15/102</f>
        <v>1500.672268907563</v>
      </c>
      <c r="F18" s="29">
        <f>F14*15/124</f>
        <v>1234.4239631336404</v>
      </c>
      <c r="G18" s="30" t="s">
        <v>26</v>
      </c>
      <c r="H18" s="30" t="s">
        <v>26</v>
      </c>
      <c r="I18" s="30"/>
      <c r="J18" s="31">
        <f>SUM(B18:H18)/15</f>
        <v>2573.4869549299528</v>
      </c>
      <c r="K18" s="32">
        <f>J18/12</f>
        <v>214.45724624416275</v>
      </c>
      <c r="L18" s="32">
        <v>194.77781749823021</v>
      </c>
      <c r="M18" s="32">
        <v>207.11007178226581</v>
      </c>
      <c r="N18" s="49">
        <f>K18*6</f>
        <v>1286.7434774649764</v>
      </c>
      <c r="P18" s="49"/>
      <c r="Q18" s="49"/>
    </row>
    <row r="19" spans="1:18">
      <c r="A19" s="33" t="s">
        <v>29</v>
      </c>
      <c r="B19" s="34">
        <f>B14*23/75</f>
        <v>43158.864761904762</v>
      </c>
      <c r="C19" s="35" t="s">
        <v>26</v>
      </c>
      <c r="D19" s="35" t="s">
        <v>26</v>
      </c>
      <c r="E19" s="34">
        <f>E14*23/102</f>
        <v>2301.0308123249297</v>
      </c>
      <c r="F19" s="34">
        <f>F14*23/124</f>
        <v>1892.7834101382487</v>
      </c>
      <c r="G19" s="36" t="s">
        <v>26</v>
      </c>
      <c r="H19" s="35" t="s">
        <v>26</v>
      </c>
      <c r="I19" s="36"/>
      <c r="J19" s="37">
        <f>SUM(B19:H19)</f>
        <v>47352.678984367936</v>
      </c>
      <c r="K19" s="38">
        <f>J19/12</f>
        <v>3946.0565820306615</v>
      </c>
      <c r="L19" s="38">
        <v>3539.3895110840035</v>
      </c>
      <c r="M19" s="38">
        <v>3809.9548007590129</v>
      </c>
      <c r="N19" s="49">
        <f>K19*6</f>
        <v>23676.339492183968</v>
      </c>
      <c r="O19" s="52"/>
      <c r="P19" s="49"/>
      <c r="Q19" s="49"/>
      <c r="R19" s="49"/>
    </row>
    <row r="20" spans="1:18">
      <c r="A20" s="22"/>
      <c r="B20" s="39"/>
      <c r="C20" s="39"/>
      <c r="D20" s="39"/>
      <c r="E20" s="40"/>
      <c r="F20" s="40"/>
      <c r="G20" s="21"/>
      <c r="H20" s="21"/>
      <c r="I20" s="21"/>
      <c r="J20" s="41"/>
      <c r="K20" s="42"/>
      <c r="L20" s="42"/>
      <c r="M20" s="42"/>
      <c r="P20" s="49"/>
    </row>
    <row r="21" spans="1:18">
      <c r="A21" s="43" t="s">
        <v>30</v>
      </c>
      <c r="B21" s="44" t="s">
        <v>26</v>
      </c>
      <c r="C21" s="44" t="s">
        <v>26</v>
      </c>
      <c r="D21" s="44" t="s">
        <v>26</v>
      </c>
      <c r="E21" s="45">
        <f>E14*23/102</f>
        <v>2301.0308123249297</v>
      </c>
      <c r="F21" s="45">
        <f>F14*23/124</f>
        <v>1892.7834101382487</v>
      </c>
      <c r="G21" s="45">
        <f>G14*23/59</f>
        <v>33037.968523002419</v>
      </c>
      <c r="H21" s="46" t="s">
        <v>26</v>
      </c>
      <c r="I21" s="46"/>
      <c r="J21" s="47">
        <f>SUM(B21:H21)</f>
        <v>37231.7827454656</v>
      </c>
      <c r="K21" s="48">
        <f>J21/12</f>
        <v>3102.6485621221332</v>
      </c>
      <c r="L21" s="48">
        <v>2750.5218113261344</v>
      </c>
      <c r="M21" s="48">
        <v>2842.3066221203262</v>
      </c>
      <c r="N21" s="49">
        <f>K21*6</f>
        <v>18615.8913727328</v>
      </c>
      <c r="O21" s="52"/>
      <c r="P21" s="49"/>
      <c r="Q21" s="49"/>
      <c r="R21" s="49"/>
    </row>
    <row r="22" spans="1:18">
      <c r="A22" s="22" t="s">
        <v>31</v>
      </c>
      <c r="B22" s="39" t="s">
        <v>26</v>
      </c>
      <c r="C22" s="40">
        <f>C14*26/88</f>
        <v>4505.2597402597394</v>
      </c>
      <c r="D22" s="39" t="s">
        <v>26</v>
      </c>
      <c r="E22" s="40">
        <f>E14*26/102</f>
        <v>2601.1652661064422</v>
      </c>
      <c r="F22" s="40">
        <f>F14*26/124</f>
        <v>2139.6682027649767</v>
      </c>
      <c r="G22" s="40">
        <f>G14*26/59</f>
        <v>37347.268765133165</v>
      </c>
      <c r="H22" s="40">
        <f>H14*26/26</f>
        <v>12230.428571428572</v>
      </c>
      <c r="I22" s="21"/>
      <c r="J22" s="47">
        <f>SUM(B22:H22)/26</f>
        <v>2262.4534825266496</v>
      </c>
      <c r="K22" s="42">
        <f>J22/12</f>
        <v>188.53779021055414</v>
      </c>
      <c r="L22" s="42">
        <v>170.34414859651045</v>
      </c>
      <c r="M22" s="42">
        <v>175.11281660335808</v>
      </c>
      <c r="N22" s="49">
        <f>K22*6</f>
        <v>1131.2267412633248</v>
      </c>
      <c r="O22" s="49"/>
      <c r="P22" s="49"/>
      <c r="Q22" s="49"/>
    </row>
    <row r="23" spans="1:18">
      <c r="A23" s="43" t="s">
        <v>32</v>
      </c>
      <c r="B23" s="44" t="s">
        <v>26</v>
      </c>
      <c r="C23" s="45">
        <f>C14*10/88</f>
        <v>1732.7922077922076</v>
      </c>
      <c r="D23" s="44" t="s">
        <v>26</v>
      </c>
      <c r="E23" s="44" t="s">
        <v>26</v>
      </c>
      <c r="F23" s="44" t="s">
        <v>26</v>
      </c>
      <c r="G23" s="45">
        <f>G14*10/59</f>
        <v>14364.334140435834</v>
      </c>
      <c r="H23" s="44" t="s">
        <v>26</v>
      </c>
      <c r="I23" s="46"/>
      <c r="J23" s="47">
        <f>SUM(B23:H23)</f>
        <v>16097.126348228041</v>
      </c>
      <c r="K23" s="48">
        <f>J23/12</f>
        <v>1341.4271956856701</v>
      </c>
      <c r="L23" s="48">
        <v>1188.9984591679508</v>
      </c>
      <c r="M23" s="48">
        <v>1226.9859078068828</v>
      </c>
      <c r="N23" s="49">
        <f>K23*6</f>
        <v>8048.5631741140205</v>
      </c>
      <c r="O23" s="52"/>
      <c r="P23" s="49"/>
      <c r="Q23" s="49"/>
    </row>
    <row r="24" spans="1:18">
      <c r="B24" s="50"/>
      <c r="C24" s="50"/>
      <c r="D24" s="50"/>
      <c r="E24" s="50"/>
      <c r="F24" s="50"/>
      <c r="G24" s="50"/>
      <c r="H24" s="50"/>
      <c r="I24" s="50"/>
    </row>
    <row r="25" spans="1:18">
      <c r="A25" t="s">
        <v>40</v>
      </c>
      <c r="D25" s="51"/>
      <c r="E25" s="51"/>
      <c r="F25" s="51"/>
      <c r="G25" s="51"/>
      <c r="H25" s="51"/>
      <c r="I25" s="51"/>
    </row>
    <row r="26" spans="1:18">
      <c r="A26" t="s">
        <v>41</v>
      </c>
      <c r="D26" s="51"/>
      <c r="E26" s="51"/>
      <c r="F26" s="51"/>
      <c r="G26" s="51"/>
      <c r="H26" s="51"/>
      <c r="I26" s="51"/>
    </row>
    <row r="27" spans="1:18">
      <c r="A27" t="s">
        <v>42</v>
      </c>
      <c r="D27" s="51"/>
      <c r="E27" s="51"/>
      <c r="F27" s="51"/>
      <c r="G27" s="51"/>
      <c r="H27" s="51"/>
      <c r="I27" s="51"/>
      <c r="J27" s="52"/>
    </row>
    <row r="28" spans="1:18">
      <c r="A28" t="s">
        <v>43</v>
      </c>
      <c r="D28" s="51"/>
      <c r="E28" s="51"/>
      <c r="F28" s="51"/>
      <c r="G28" s="51"/>
      <c r="H28" s="51"/>
      <c r="I28" s="51"/>
    </row>
    <row r="29" spans="1:18">
      <c r="A29" t="s">
        <v>44</v>
      </c>
      <c r="D29" s="51"/>
      <c r="E29" s="51"/>
      <c r="F29" s="51"/>
      <c r="G29" s="51"/>
      <c r="H29" s="51"/>
      <c r="I29" s="51"/>
    </row>
    <row r="30" spans="1:18">
      <c r="A30" t="s">
        <v>45</v>
      </c>
      <c r="D30" s="51"/>
      <c r="E30" s="51"/>
      <c r="F30" s="51"/>
      <c r="G30" s="51"/>
      <c r="H30" s="51"/>
      <c r="I30" s="51"/>
    </row>
    <row r="31" spans="1:18">
      <c r="A31" t="s">
        <v>46</v>
      </c>
      <c r="D31" s="51"/>
      <c r="E31" s="51"/>
      <c r="F31" s="51"/>
      <c r="G31" s="51"/>
      <c r="H31" s="51"/>
      <c r="I31" s="51"/>
    </row>
    <row r="32" spans="1:18">
      <c r="A32" s="53" t="s">
        <v>47</v>
      </c>
      <c r="B32" s="53"/>
      <c r="C32" s="53"/>
      <c r="D32" s="53"/>
    </row>
    <row r="40" spans="7:7">
      <c r="G40" s="52"/>
    </row>
  </sheetData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8"/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1"/>
  <sheetViews>
    <sheetView workbookViewId="0">
      <pane xSplit="1" ySplit="1" topLeftCell="G2" activePane="bottomRight" state="frozen"/>
      <selection pane="bottomRight" activeCell="K18" sqref="K18:K25"/>
      <selection pane="bottomLeft" activeCell="A2" sqref="A2"/>
      <selection pane="topRight" activeCell="B1" sqref="B1"/>
    </sheetView>
  </sheetViews>
  <sheetFormatPr defaultRowHeight="12.75"/>
  <cols>
    <col min="1" max="1" width="44.5703125" bestFit="1" customWidth="1"/>
    <col min="2" max="13" width="22.28515625" customWidth="1"/>
  </cols>
  <sheetData>
    <row r="1" spans="1:14">
      <c r="A1" s="1"/>
      <c r="B1" s="3" t="s">
        <v>0</v>
      </c>
      <c r="C1" s="2" t="s">
        <v>1</v>
      </c>
      <c r="D1" s="3" t="s">
        <v>2</v>
      </c>
      <c r="E1" s="4" t="s">
        <v>3</v>
      </c>
      <c r="F1" s="5" t="s">
        <v>4</v>
      </c>
      <c r="G1" s="6" t="s">
        <v>5</v>
      </c>
      <c r="H1" s="5" t="s">
        <v>6</v>
      </c>
      <c r="I1" s="7" t="s">
        <v>7</v>
      </c>
      <c r="J1" s="1"/>
      <c r="K1" s="1"/>
      <c r="L1" s="54"/>
      <c r="M1" s="1"/>
    </row>
    <row r="2" spans="1:14">
      <c r="A2" s="1" t="s">
        <v>8</v>
      </c>
      <c r="B2" s="58">
        <f>0.6*(12240*4)+(1.25*35000)</f>
        <v>73126</v>
      </c>
      <c r="C2" s="59">
        <f>0.05*(12240*4)</f>
        <v>2448</v>
      </c>
      <c r="D2" s="58">
        <v>0</v>
      </c>
      <c r="E2" s="60">
        <v>0</v>
      </c>
      <c r="F2" s="61">
        <v>0</v>
      </c>
      <c r="G2" s="62">
        <f>0.35*(12240*4)+(1.25*30000)</f>
        <v>54636</v>
      </c>
      <c r="H2" s="61">
        <v>0</v>
      </c>
      <c r="I2" s="62">
        <f>SUM(B2:H2)</f>
        <v>130210</v>
      </c>
      <c r="J2" s="1"/>
      <c r="K2" s="1"/>
      <c r="L2" s="1"/>
      <c r="M2" s="1"/>
    </row>
    <row r="3" spans="1:14">
      <c r="A3" s="1" t="s">
        <v>9</v>
      </c>
      <c r="B3" s="58">
        <f>0.54*I3</f>
        <v>20250</v>
      </c>
      <c r="C3" s="59">
        <v>0</v>
      </c>
      <c r="D3" s="58">
        <v>0</v>
      </c>
      <c r="E3" s="60">
        <v>0</v>
      </c>
      <c r="F3" s="61">
        <v>0</v>
      </c>
      <c r="G3" s="62">
        <f>0.46*I3</f>
        <v>17250</v>
      </c>
      <c r="H3" s="61">
        <v>0</v>
      </c>
      <c r="I3" s="62">
        <f>1.25*30000</f>
        <v>37500</v>
      </c>
      <c r="J3" s="1"/>
      <c r="K3" s="1"/>
      <c r="L3" s="1"/>
      <c r="M3" s="1"/>
    </row>
    <row r="4" spans="1:14">
      <c r="A4" s="1" t="s">
        <v>10</v>
      </c>
      <c r="B4" s="58"/>
      <c r="C4" s="59"/>
      <c r="D4" s="58"/>
      <c r="E4" s="60">
        <f>9792*1.25</f>
        <v>12240</v>
      </c>
      <c r="F4" s="61"/>
      <c r="G4" s="62"/>
      <c r="H4" s="61"/>
      <c r="I4" s="62">
        <v>0</v>
      </c>
      <c r="J4" s="1"/>
      <c r="K4" s="1"/>
      <c r="L4" s="1"/>
      <c r="M4" s="1"/>
    </row>
    <row r="5" spans="1:14">
      <c r="A5" s="1" t="s">
        <v>11</v>
      </c>
      <c r="B5" s="58">
        <v>0</v>
      </c>
      <c r="C5" s="59">
        <v>0</v>
      </c>
      <c r="D5" s="58">
        <f>(1.25*2100*4)</f>
        <v>10500</v>
      </c>
      <c r="E5" s="60">
        <v>0</v>
      </c>
      <c r="F5" s="61">
        <v>0</v>
      </c>
      <c r="G5" s="62">
        <v>0</v>
      </c>
      <c r="H5" s="61">
        <v>0</v>
      </c>
      <c r="I5" s="62">
        <f>SUM(B5:H5)</f>
        <v>10500</v>
      </c>
      <c r="J5" s="1"/>
      <c r="K5" s="1"/>
      <c r="L5" s="1"/>
      <c r="M5" s="1"/>
    </row>
    <row r="6" spans="1:14">
      <c r="A6" s="1" t="s">
        <v>12</v>
      </c>
      <c r="B6" s="58">
        <v>44788</v>
      </c>
      <c r="C6" s="59">
        <v>6301</v>
      </c>
      <c r="D6" s="58">
        <v>1838</v>
      </c>
      <c r="E6" s="60">
        <v>2625</v>
      </c>
      <c r="F6" s="61">
        <v>2625</v>
      </c>
      <c r="G6" s="62">
        <v>11814</v>
      </c>
      <c r="H6" s="61">
        <v>5251</v>
      </c>
      <c r="I6" s="62">
        <f>SUM(B6:H6)</f>
        <v>75242</v>
      </c>
      <c r="J6" s="1"/>
      <c r="K6" s="1"/>
      <c r="L6" s="1"/>
      <c r="M6" s="1"/>
    </row>
    <row r="7" spans="1:14" hidden="1">
      <c r="A7" s="1" t="s">
        <v>13</v>
      </c>
      <c r="B7" s="58">
        <v>0</v>
      </c>
      <c r="C7" s="59">
        <v>0</v>
      </c>
      <c r="D7" s="58">
        <v>0</v>
      </c>
      <c r="E7" s="60">
        <v>0</v>
      </c>
      <c r="F7" s="61">
        <v>0</v>
      </c>
      <c r="G7" s="62">
        <v>0</v>
      </c>
      <c r="H7" s="61">
        <v>0</v>
      </c>
      <c r="I7" s="62"/>
      <c r="J7" s="1"/>
      <c r="K7" s="1"/>
      <c r="L7" s="1"/>
      <c r="M7" s="1"/>
    </row>
    <row r="8" spans="1:14">
      <c r="A8" s="1" t="s">
        <v>14</v>
      </c>
      <c r="B8" s="58">
        <v>10000</v>
      </c>
      <c r="C8" s="59">
        <v>0</v>
      </c>
      <c r="D8" s="58">
        <v>0</v>
      </c>
      <c r="E8" s="60">
        <v>0</v>
      </c>
      <c r="F8" s="61">
        <v>0</v>
      </c>
      <c r="G8" s="62">
        <v>10000</v>
      </c>
      <c r="H8" s="61">
        <v>0</v>
      </c>
      <c r="I8" s="62">
        <f>SUM(B8:H8)</f>
        <v>20000</v>
      </c>
      <c r="J8" s="1"/>
      <c r="K8" s="1"/>
      <c r="L8" s="1"/>
      <c r="M8" s="1"/>
    </row>
    <row r="9" spans="1:14" s="57" customFormat="1">
      <c r="A9" s="18" t="s">
        <v>15</v>
      </c>
      <c r="B9" s="79">
        <f t="shared" ref="B9:H9" si="0">SUM(B2:B8)</f>
        <v>148164</v>
      </c>
      <c r="C9" s="81">
        <f t="shared" si="0"/>
        <v>8749</v>
      </c>
      <c r="D9" s="79">
        <f t="shared" si="0"/>
        <v>12338</v>
      </c>
      <c r="E9" s="82">
        <f t="shared" si="0"/>
        <v>14865</v>
      </c>
      <c r="F9" s="83">
        <f t="shared" si="0"/>
        <v>2625</v>
      </c>
      <c r="G9" s="80">
        <f t="shared" si="0"/>
        <v>93700</v>
      </c>
      <c r="H9" s="83">
        <f t="shared" si="0"/>
        <v>5251</v>
      </c>
      <c r="I9" s="80">
        <f>SUM(B9:H9)</f>
        <v>285692</v>
      </c>
      <c r="J9" s="18"/>
      <c r="K9" s="18"/>
      <c r="L9" s="18"/>
      <c r="M9" s="18"/>
    </row>
    <row r="10" spans="1:14">
      <c r="A10" s="1" t="s">
        <v>16</v>
      </c>
      <c r="B10" s="58">
        <f>(75/526)*I10</f>
        <v>1069.3916349809886</v>
      </c>
      <c r="C10" s="59">
        <f>(88/526)*I10</f>
        <v>1254.7528517110266</v>
      </c>
      <c r="D10" s="58">
        <f>(52/526)*I10</f>
        <v>741.44486692015209</v>
      </c>
      <c r="E10" s="60">
        <f>(102/526)*I10</f>
        <v>1454.3726235741444</v>
      </c>
      <c r="F10" s="61">
        <f>(124/526)*I10</f>
        <v>1768.0608365019011</v>
      </c>
      <c r="G10" s="62">
        <f>(59/526)*I10</f>
        <v>841.25475285171103</v>
      </c>
      <c r="H10" s="61">
        <f>(26/526)*I10</f>
        <v>370.72243346007605</v>
      </c>
      <c r="I10" s="62">
        <v>7500</v>
      </c>
      <c r="J10" s="1"/>
      <c r="K10" s="1"/>
      <c r="L10" s="1"/>
      <c r="M10" s="1"/>
    </row>
    <row r="11" spans="1:14">
      <c r="A11" s="1" t="s">
        <v>17</v>
      </c>
      <c r="B11" s="58">
        <f t="shared" ref="B11:B13" si="1">(75/526)*I11</f>
        <v>2887.3574144486693</v>
      </c>
      <c r="C11" s="59">
        <f>(88/526)*I11</f>
        <v>3387.8326996197716</v>
      </c>
      <c r="D11" s="58">
        <f>(52/526)*I11</f>
        <v>2001.9011406844106</v>
      </c>
      <c r="E11" s="60">
        <f>(102/526)*I11</f>
        <v>3926.80608365019</v>
      </c>
      <c r="F11" s="61">
        <f t="shared" ref="F11:F13" si="2">(124/526)*I11</f>
        <v>4773.764258555133</v>
      </c>
      <c r="G11" s="62">
        <f>(59/526)*I11</f>
        <v>2271.3878326996196</v>
      </c>
      <c r="H11" s="61">
        <f>(26/526)*I11</f>
        <v>1000.9505703422053</v>
      </c>
      <c r="I11" s="62">
        <f>3000*5*1.35</f>
        <v>20250</v>
      </c>
      <c r="J11" s="1"/>
      <c r="K11" s="1"/>
      <c r="L11" s="1"/>
      <c r="M11" s="1"/>
      <c r="N11" s="52"/>
    </row>
    <row r="12" spans="1:14">
      <c r="A12" s="54" t="s">
        <v>18</v>
      </c>
      <c r="B12" s="58">
        <f t="shared" si="1"/>
        <v>4919.2015209125475</v>
      </c>
      <c r="C12" s="59">
        <f>(88/526)*I12</f>
        <v>5771.8631178707219</v>
      </c>
      <c r="D12" s="58">
        <f>(52/526)*I12</f>
        <v>3410.6463878326995</v>
      </c>
      <c r="E12" s="60">
        <f>(102/526)*I12</f>
        <v>6690.1140684410648</v>
      </c>
      <c r="F12" s="61">
        <f t="shared" si="2"/>
        <v>8133.0798479087453</v>
      </c>
      <c r="G12" s="62">
        <f>(59/526)*I12</f>
        <v>3869.7718631178709</v>
      </c>
      <c r="H12" s="61">
        <f>(26/526)*I12</f>
        <v>1705.3231939163497</v>
      </c>
      <c r="I12" s="63">
        <f>2300*1.25*12</f>
        <v>34500</v>
      </c>
      <c r="J12" s="1"/>
      <c r="K12" s="1"/>
      <c r="L12" s="1"/>
      <c r="M12" s="1"/>
    </row>
    <row r="13" spans="1:14">
      <c r="A13" s="1" t="s">
        <v>19</v>
      </c>
      <c r="B13" s="58">
        <f t="shared" si="1"/>
        <v>891.1596958174905</v>
      </c>
      <c r="C13" s="59">
        <f>(88/526)*I13</f>
        <v>1045.6273764258553</v>
      </c>
      <c r="D13" s="58">
        <f>(52/526)*I13</f>
        <v>617.87072243346006</v>
      </c>
      <c r="E13" s="60">
        <f>(102/526)*I13</f>
        <v>1211.9771863117871</v>
      </c>
      <c r="F13" s="61">
        <f t="shared" si="2"/>
        <v>1473.3840304182509</v>
      </c>
      <c r="G13" s="62">
        <f>(59/526)*I13</f>
        <v>701.04562737642584</v>
      </c>
      <c r="H13" s="61">
        <f>(26/526)*I13</f>
        <v>308.93536121673003</v>
      </c>
      <c r="I13" s="62">
        <f>5000*1.25</f>
        <v>6250</v>
      </c>
      <c r="J13" s="1"/>
      <c r="K13" s="1"/>
      <c r="L13" s="1"/>
      <c r="M13" s="1"/>
    </row>
    <row r="14" spans="1:14" s="57" customFormat="1">
      <c r="A14" s="18" t="s">
        <v>15</v>
      </c>
      <c r="B14" s="79">
        <f t="shared" ref="B14:H14" si="3">SUM(B9:B13)</f>
        <v>157931.1102661597</v>
      </c>
      <c r="C14" s="79">
        <f t="shared" si="3"/>
        <v>20209.076045627375</v>
      </c>
      <c r="D14" s="79">
        <f t="shared" si="3"/>
        <v>19109.863117870726</v>
      </c>
      <c r="E14" s="79">
        <f t="shared" si="3"/>
        <v>28148.269961977185</v>
      </c>
      <c r="F14" s="79">
        <f t="shared" si="3"/>
        <v>18773.288973384031</v>
      </c>
      <c r="G14" s="79">
        <f t="shared" si="3"/>
        <v>101383.46007604564</v>
      </c>
      <c r="H14" s="79">
        <f t="shared" si="3"/>
        <v>8636.9315589353628</v>
      </c>
      <c r="I14" s="80">
        <f>SUM(B14:H14)</f>
        <v>354192.00000000006</v>
      </c>
      <c r="J14" s="18"/>
      <c r="K14" s="18"/>
      <c r="L14" s="18"/>
      <c r="M14" s="18"/>
    </row>
    <row r="15" spans="1:14" s="57" customFormat="1">
      <c r="A15" s="18"/>
      <c r="B15" s="79"/>
      <c r="C15" s="79"/>
      <c r="D15" s="79"/>
      <c r="E15" s="79"/>
      <c r="F15" s="79"/>
      <c r="G15" s="79"/>
      <c r="H15" s="79"/>
      <c r="I15" s="80"/>
      <c r="J15" s="18"/>
      <c r="K15" s="18"/>
      <c r="L15" s="18"/>
      <c r="M15" s="18"/>
    </row>
    <row r="16" spans="1:14" s="84" customFormat="1">
      <c r="A16" s="84" t="s">
        <v>20</v>
      </c>
      <c r="B16" s="85"/>
      <c r="C16" s="85"/>
      <c r="D16" s="85"/>
      <c r="E16" s="85"/>
      <c r="F16" s="85"/>
      <c r="G16" s="85"/>
      <c r="H16" s="85"/>
      <c r="I16" s="85"/>
    </row>
    <row r="17" spans="1:16">
      <c r="A17" s="20" t="s">
        <v>21</v>
      </c>
      <c r="B17" s="64"/>
      <c r="C17" s="64"/>
      <c r="D17" s="64"/>
      <c r="E17" s="64"/>
      <c r="F17" s="64"/>
      <c r="G17" s="64"/>
      <c r="H17" s="64"/>
      <c r="I17" s="64"/>
      <c r="J17" s="22" t="s">
        <v>22</v>
      </c>
      <c r="K17" s="22" t="s">
        <v>23</v>
      </c>
      <c r="L17" s="22">
        <v>2019</v>
      </c>
      <c r="M17" s="22">
        <v>2018</v>
      </c>
      <c r="N17" s="22" t="s">
        <v>24</v>
      </c>
    </row>
    <row r="18" spans="1:16">
      <c r="A18" s="33" t="s">
        <v>25</v>
      </c>
      <c r="B18" s="65">
        <f>(B14*22/75)</f>
        <v>46326.459011406841</v>
      </c>
      <c r="C18" s="65">
        <f>C14*22/88</f>
        <v>5052.2690114068437</v>
      </c>
      <c r="D18" s="65">
        <f>D14*22/52</f>
        <v>8084.9420883299226</v>
      </c>
      <c r="E18" s="66" t="s">
        <v>26</v>
      </c>
      <c r="F18" s="65">
        <f>F14*22/124</f>
        <v>3330.7448178584573</v>
      </c>
      <c r="G18" s="66" t="s">
        <v>26</v>
      </c>
      <c r="H18" s="66" t="s">
        <v>26</v>
      </c>
      <c r="I18" s="66"/>
      <c r="J18" s="65">
        <f>SUM(B18:I18)/22</f>
        <v>2854.2915876819125</v>
      </c>
      <c r="K18" s="38">
        <f>J18/12</f>
        <v>237.85763230682605</v>
      </c>
      <c r="L18" s="38">
        <v>206.9652405650348</v>
      </c>
      <c r="M18" s="38">
        <v>186.92849443567184</v>
      </c>
      <c r="N18" s="49">
        <f>J18/2</f>
        <v>1427.1457938409562</v>
      </c>
      <c r="O18" s="49"/>
    </row>
    <row r="19" spans="1:16">
      <c r="A19" s="23" t="s">
        <v>27</v>
      </c>
      <c r="B19" s="67">
        <f>(B14*15/75)</f>
        <v>31586.222053231937</v>
      </c>
      <c r="C19" s="67">
        <f>C14*15/88</f>
        <v>3444.7288714137571</v>
      </c>
      <c r="D19" s="67">
        <f>D14*15/52</f>
        <v>5512.4605147704024</v>
      </c>
      <c r="E19" s="67">
        <f>E14*15/102</f>
        <v>4139.451464996645</v>
      </c>
      <c r="F19" s="67">
        <f>F14*15/124</f>
        <v>2270.9623758125845</v>
      </c>
      <c r="G19" s="68" t="s">
        <v>26</v>
      </c>
      <c r="H19" s="68" t="s">
        <v>26</v>
      </c>
      <c r="I19" s="68"/>
      <c r="J19" s="67">
        <f>SUM(B19:I19)/15</f>
        <v>3130.2550186816884</v>
      </c>
      <c r="K19" s="27">
        <f>J19/12</f>
        <v>260.8545848901407</v>
      </c>
      <c r="L19" s="27">
        <v>217.69049467174719</v>
      </c>
      <c r="M19" s="27">
        <v>194.77781749823021</v>
      </c>
      <c r="N19" s="49">
        <f t="shared" ref="N19:N25" si="4">J19/2</f>
        <v>1565.1275093408442</v>
      </c>
      <c r="O19" s="49"/>
    </row>
    <row r="20" spans="1:16">
      <c r="A20" s="28" t="s">
        <v>28</v>
      </c>
      <c r="B20" s="69">
        <f>B14*15/75</f>
        <v>31586.222053231937</v>
      </c>
      <c r="C20" s="69">
        <f>C14*15/88</f>
        <v>3444.7288714137571</v>
      </c>
      <c r="D20" s="69">
        <f>D14*15/52</f>
        <v>5512.4605147704024</v>
      </c>
      <c r="E20" s="69">
        <f>E14*15/102</f>
        <v>4139.451464996645</v>
      </c>
      <c r="F20" s="69">
        <f>F14*15/124</f>
        <v>2270.9623758125845</v>
      </c>
      <c r="G20" s="70" t="s">
        <v>26</v>
      </c>
      <c r="H20" s="70" t="s">
        <v>26</v>
      </c>
      <c r="I20" s="70"/>
      <c r="J20" s="69">
        <f>SUM(B20:H20)/15</f>
        <v>3130.2550186816884</v>
      </c>
      <c r="K20" s="32">
        <f>J20/12</f>
        <v>260.8545848901407</v>
      </c>
      <c r="L20" s="32">
        <v>217.69049467174719</v>
      </c>
      <c r="M20" s="32">
        <v>194.77781749823021</v>
      </c>
      <c r="N20" s="49">
        <f t="shared" si="4"/>
        <v>1565.1275093408442</v>
      </c>
      <c r="O20" s="49"/>
    </row>
    <row r="21" spans="1:16">
      <c r="A21" s="33" t="s">
        <v>29</v>
      </c>
      <c r="B21" s="65">
        <f>B14*23/75</f>
        <v>48432.207148288973</v>
      </c>
      <c r="C21" s="66" t="s">
        <v>26</v>
      </c>
      <c r="D21" s="66" t="s">
        <v>26</v>
      </c>
      <c r="E21" s="65">
        <f>E14*23/102</f>
        <v>6347.1589129948552</v>
      </c>
      <c r="F21" s="65">
        <f>F14*23/124</f>
        <v>3482.1423095792961</v>
      </c>
      <c r="G21" s="66" t="s">
        <v>26</v>
      </c>
      <c r="H21" s="66" t="s">
        <v>26</v>
      </c>
      <c r="I21" s="66"/>
      <c r="J21" s="65">
        <f>SUM(B21:H21)</f>
        <v>58261.508370863128</v>
      </c>
      <c r="K21" s="38">
        <f>J21/12</f>
        <v>4855.125697571927</v>
      </c>
      <c r="L21" s="38">
        <v>4082.78564848017</v>
      </c>
      <c r="M21" s="38">
        <v>3539.3895110840035</v>
      </c>
      <c r="N21" s="49">
        <f t="shared" si="4"/>
        <v>29130.754185431564</v>
      </c>
      <c r="O21" s="49"/>
      <c r="P21" s="49"/>
    </row>
    <row r="22" spans="1:16">
      <c r="A22" s="22"/>
      <c r="B22" s="64"/>
      <c r="C22" s="64"/>
      <c r="D22" s="64"/>
      <c r="E22" s="71"/>
      <c r="F22" s="71"/>
      <c r="G22" s="64"/>
      <c r="H22" s="64"/>
      <c r="I22" s="64"/>
      <c r="J22" s="71"/>
      <c r="K22" s="42"/>
      <c r="L22" s="42"/>
      <c r="M22" s="42"/>
      <c r="N22" s="49">
        <f t="shared" si="4"/>
        <v>0</v>
      </c>
    </row>
    <row r="23" spans="1:16">
      <c r="A23" s="43" t="s">
        <v>30</v>
      </c>
      <c r="B23" s="72" t="s">
        <v>26</v>
      </c>
      <c r="C23" s="72" t="s">
        <v>26</v>
      </c>
      <c r="D23" s="72" t="s">
        <v>26</v>
      </c>
      <c r="E23" s="73">
        <f>E14*23/102</f>
        <v>6347.1589129948552</v>
      </c>
      <c r="F23" s="73">
        <f>F14*23/124</f>
        <v>3482.1423095792961</v>
      </c>
      <c r="G23" s="73">
        <f>G14*23/59</f>
        <v>39522.365792356773</v>
      </c>
      <c r="H23" s="72" t="s">
        <v>26</v>
      </c>
      <c r="I23" s="72"/>
      <c r="J23" s="73">
        <f>SUM(B23:H23)</f>
        <v>49351.667014930921</v>
      </c>
      <c r="K23" s="48">
        <f>J23/12</f>
        <v>4112.6389179109101</v>
      </c>
      <c r="L23" s="48">
        <v>3182.6938594029566</v>
      </c>
      <c r="M23" s="48">
        <v>2750.5218113261344</v>
      </c>
      <c r="N23" s="49">
        <f t="shared" si="4"/>
        <v>24675.833507465461</v>
      </c>
      <c r="O23" s="49"/>
      <c r="P23" s="49"/>
    </row>
    <row r="24" spans="1:16">
      <c r="A24" s="22" t="s">
        <v>31</v>
      </c>
      <c r="B24" s="64" t="s">
        <v>26</v>
      </c>
      <c r="C24" s="71">
        <f>C14*26/88</f>
        <v>5970.863377117179</v>
      </c>
      <c r="D24" s="64" t="s">
        <v>26</v>
      </c>
      <c r="E24" s="71">
        <f>E14*26/102</f>
        <v>7175.0492059941844</v>
      </c>
      <c r="F24" s="71">
        <f>F14*26/124</f>
        <v>3936.3347847418131</v>
      </c>
      <c r="G24" s="71">
        <f>G14*26/59</f>
        <v>44677.456982664182</v>
      </c>
      <c r="H24" s="71">
        <f>H14*26/26</f>
        <v>8636.9315589353628</v>
      </c>
      <c r="I24" s="64"/>
      <c r="J24" s="71">
        <f>SUM(B24:H24)/26</f>
        <v>2707.5629195943352</v>
      </c>
      <c r="K24" s="42">
        <f>J24/12</f>
        <v>225.63024329952793</v>
      </c>
      <c r="L24" s="42">
        <v>176.20029982892524</v>
      </c>
      <c r="M24" s="42">
        <v>170.34414859651045</v>
      </c>
      <c r="N24" s="49">
        <f t="shared" si="4"/>
        <v>1353.7814597971676</v>
      </c>
      <c r="O24" s="49"/>
    </row>
    <row r="25" spans="1:16">
      <c r="A25" s="43" t="s">
        <v>32</v>
      </c>
      <c r="B25" s="72" t="s">
        <v>26</v>
      </c>
      <c r="C25" s="73">
        <f>C14*10/88</f>
        <v>2296.4859142758378</v>
      </c>
      <c r="D25" s="72" t="s">
        <v>26</v>
      </c>
      <c r="E25" s="72" t="s">
        <v>26</v>
      </c>
      <c r="F25" s="72" t="s">
        <v>26</v>
      </c>
      <c r="G25" s="73">
        <f>G14*10/59</f>
        <v>17183.637301024686</v>
      </c>
      <c r="H25" s="72" t="s">
        <v>26</v>
      </c>
      <c r="I25" s="72"/>
      <c r="J25" s="73">
        <f>SUM(B25:H25)</f>
        <v>19480.123215300526</v>
      </c>
      <c r="K25" s="48">
        <f>J25/12</f>
        <v>1623.3436012750437</v>
      </c>
      <c r="L25" s="48">
        <v>1329.8625639816348</v>
      </c>
      <c r="M25" s="48">
        <v>1188.9984591679508</v>
      </c>
      <c r="N25" s="49">
        <f t="shared" si="4"/>
        <v>9740.0616076502629</v>
      </c>
      <c r="O25" s="49"/>
    </row>
    <row r="26" spans="1:16" hidden="1">
      <c r="A26" s="43"/>
      <c r="B26" s="44">
        <v>75</v>
      </c>
      <c r="C26" s="45">
        <v>88</v>
      </c>
      <c r="D26" s="44">
        <v>52</v>
      </c>
      <c r="E26" s="44">
        <v>102</v>
      </c>
      <c r="F26" s="44">
        <v>124</v>
      </c>
      <c r="G26" s="45">
        <v>59</v>
      </c>
      <c r="H26" s="44">
        <v>26</v>
      </c>
      <c r="I26" s="46"/>
      <c r="J26" s="47">
        <f>SUM(B26:I26)</f>
        <v>526</v>
      </c>
      <c r="K26" s="48"/>
      <c r="L26" s="48"/>
      <c r="M26" s="48"/>
      <c r="N26" s="49"/>
      <c r="O26" s="49"/>
    </row>
    <row r="27" spans="1:16" hidden="1">
      <c r="A27" s="43"/>
      <c r="B27" s="56">
        <f t="shared" ref="B27:H27" si="5">B26/$J26</f>
        <v>0.14258555133079848</v>
      </c>
      <c r="C27" s="56">
        <f t="shared" si="5"/>
        <v>0.16730038022813687</v>
      </c>
      <c r="D27" s="56">
        <f t="shared" si="5"/>
        <v>9.8859315589353611E-2</v>
      </c>
      <c r="E27" s="56">
        <f t="shared" si="5"/>
        <v>0.19391634980988592</v>
      </c>
      <c r="F27" s="56">
        <f t="shared" si="5"/>
        <v>0.23574144486692014</v>
      </c>
      <c r="G27" s="56">
        <f t="shared" si="5"/>
        <v>0.11216730038022814</v>
      </c>
      <c r="H27" s="56">
        <f t="shared" si="5"/>
        <v>4.9429657794676805E-2</v>
      </c>
      <c r="I27" s="46"/>
      <c r="J27" s="47"/>
      <c r="K27" s="48"/>
      <c r="L27" s="48"/>
      <c r="M27" s="48"/>
      <c r="N27" s="49"/>
      <c r="O27" s="49"/>
    </row>
    <row r="28" spans="1:16" hidden="1">
      <c r="A28" s="43"/>
      <c r="B28" s="44"/>
      <c r="C28" s="45"/>
      <c r="D28" s="44"/>
      <c r="E28" s="44"/>
      <c r="F28" s="44"/>
      <c r="G28" s="45"/>
      <c r="H28" s="44"/>
      <c r="I28" s="46"/>
      <c r="J28" s="47"/>
      <c r="K28" s="48"/>
      <c r="L28" s="48"/>
      <c r="M28" s="48"/>
      <c r="N28" s="49"/>
      <c r="O28" s="49"/>
    </row>
    <row r="29" spans="1:16">
      <c r="A29" s="43"/>
      <c r="B29" s="44"/>
      <c r="C29" s="45"/>
      <c r="D29" s="44"/>
      <c r="E29" s="44"/>
      <c r="F29" s="44"/>
      <c r="G29" s="45"/>
      <c r="H29" s="44"/>
      <c r="I29" s="46"/>
      <c r="J29" s="47"/>
      <c r="K29" s="48"/>
      <c r="L29" s="48"/>
      <c r="M29" s="48"/>
      <c r="N29" s="49"/>
      <c r="O29" s="49"/>
    </row>
    <row r="30" spans="1:16">
      <c r="B30" s="51" t="s">
        <v>33</v>
      </c>
      <c r="C30" s="51" t="s">
        <v>34</v>
      </c>
      <c r="D30" s="51" t="s">
        <v>35</v>
      </c>
      <c r="E30" s="51" t="s">
        <v>36</v>
      </c>
      <c r="F30" s="51" t="s">
        <v>37</v>
      </c>
      <c r="G30" s="74" t="s">
        <v>38</v>
      </c>
      <c r="H30" s="74" t="s">
        <v>39</v>
      </c>
      <c r="I30" s="50"/>
      <c r="J30" s="50"/>
    </row>
    <row r="31" spans="1:16">
      <c r="A31" t="s">
        <v>40</v>
      </c>
      <c r="B31">
        <v>22</v>
      </c>
      <c r="C31">
        <v>15</v>
      </c>
      <c r="D31">
        <v>15</v>
      </c>
      <c r="E31" s="51">
        <v>23</v>
      </c>
      <c r="F31" s="51"/>
      <c r="G31" s="51"/>
      <c r="H31" s="51"/>
      <c r="I31" s="51">
        <f>SUM(B31:H31)</f>
        <v>75</v>
      </c>
      <c r="J31" s="51"/>
    </row>
    <row r="32" spans="1:16">
      <c r="A32" t="s">
        <v>41</v>
      </c>
      <c r="B32">
        <v>22</v>
      </c>
      <c r="C32">
        <v>15</v>
      </c>
      <c r="D32">
        <v>15</v>
      </c>
      <c r="E32" s="51"/>
      <c r="F32" s="51"/>
      <c r="G32" s="51">
        <v>26</v>
      </c>
      <c r="H32" s="51">
        <v>10</v>
      </c>
      <c r="I32" s="51">
        <f t="shared" ref="I32:I37" si="6">SUM(B32:H32)</f>
        <v>88</v>
      </c>
      <c r="J32" s="51"/>
    </row>
    <row r="33" spans="1:11">
      <c r="A33" t="s">
        <v>42</v>
      </c>
      <c r="B33">
        <v>22</v>
      </c>
      <c r="C33">
        <v>15</v>
      </c>
      <c r="D33">
        <v>15</v>
      </c>
      <c r="E33" s="51"/>
      <c r="F33" s="51"/>
      <c r="G33" s="51"/>
      <c r="H33" s="51"/>
      <c r="I33" s="51">
        <f t="shared" si="6"/>
        <v>52</v>
      </c>
      <c r="J33" s="51"/>
      <c r="K33" s="52"/>
    </row>
    <row r="34" spans="1:11">
      <c r="A34" t="s">
        <v>43</v>
      </c>
      <c r="C34">
        <v>15</v>
      </c>
      <c r="D34">
        <v>15</v>
      </c>
      <c r="E34" s="51">
        <v>23</v>
      </c>
      <c r="F34" s="51">
        <v>23</v>
      </c>
      <c r="G34" s="51">
        <v>26</v>
      </c>
      <c r="H34" s="51"/>
      <c r="I34" s="51">
        <f t="shared" si="6"/>
        <v>102</v>
      </c>
      <c r="J34" s="88"/>
    </row>
    <row r="35" spans="1:11">
      <c r="A35" t="s">
        <v>44</v>
      </c>
      <c r="B35">
        <v>22</v>
      </c>
      <c r="C35">
        <v>15</v>
      </c>
      <c r="D35">
        <v>15</v>
      </c>
      <c r="E35" s="51">
        <v>23</v>
      </c>
      <c r="F35" s="51">
        <v>23</v>
      </c>
      <c r="G35" s="51">
        <v>26</v>
      </c>
      <c r="H35" s="51"/>
      <c r="I35" s="51">
        <f t="shared" si="6"/>
        <v>124</v>
      </c>
      <c r="J35" s="51"/>
      <c r="K35">
        <f>2603*22+2747*15+2747*15+51916+44834+2420*26+18046</f>
        <v>317392</v>
      </c>
    </row>
    <row r="36" spans="1:11">
      <c r="A36" t="s">
        <v>45</v>
      </c>
      <c r="E36" s="51"/>
      <c r="F36" s="51">
        <v>23</v>
      </c>
      <c r="G36" s="51">
        <v>26</v>
      </c>
      <c r="H36" s="51">
        <v>10</v>
      </c>
      <c r="I36" s="51">
        <f t="shared" si="6"/>
        <v>59</v>
      </c>
      <c r="J36" s="51"/>
    </row>
    <row r="37" spans="1:11">
      <c r="A37" t="s">
        <v>46</v>
      </c>
      <c r="E37" s="51"/>
      <c r="F37" s="51"/>
      <c r="G37" s="51">
        <v>26</v>
      </c>
      <c r="H37" s="51"/>
      <c r="I37" s="51">
        <f t="shared" si="6"/>
        <v>26</v>
      </c>
      <c r="J37" s="88"/>
    </row>
    <row r="38" spans="1:11">
      <c r="A38" s="53" t="s">
        <v>47</v>
      </c>
      <c r="B38" s="53">
        <f>SUM(B31:B37)</f>
        <v>88</v>
      </c>
      <c r="C38" s="53">
        <f t="shared" ref="C38:I38" si="7">SUM(C31:C37)</f>
        <v>75</v>
      </c>
      <c r="D38" s="53">
        <f t="shared" si="7"/>
        <v>75</v>
      </c>
      <c r="E38" s="53">
        <f t="shared" si="7"/>
        <v>69</v>
      </c>
      <c r="F38" s="53">
        <f t="shared" si="7"/>
        <v>69</v>
      </c>
      <c r="G38" s="53">
        <f t="shared" si="7"/>
        <v>130</v>
      </c>
      <c r="H38" s="53">
        <f t="shared" si="7"/>
        <v>20</v>
      </c>
      <c r="I38" s="53">
        <f t="shared" si="7"/>
        <v>526</v>
      </c>
    </row>
    <row r="39" spans="1:11">
      <c r="B39">
        <f>B38/$I$38</f>
        <v>0.16730038022813687</v>
      </c>
      <c r="C39">
        <f t="shared" ref="C39:I39" si="8">C38/$I$38</f>
        <v>0.14258555133079848</v>
      </c>
      <c r="D39">
        <f>D38/$I$38</f>
        <v>0.14258555133079848</v>
      </c>
      <c r="E39">
        <f>E38/$I$38</f>
        <v>0.13117870722433461</v>
      </c>
      <c r="F39">
        <f t="shared" si="8"/>
        <v>0.13117870722433461</v>
      </c>
      <c r="G39">
        <f t="shared" si="8"/>
        <v>0.24714828897338403</v>
      </c>
      <c r="H39">
        <f t="shared" si="8"/>
        <v>3.8022813688212927E-2</v>
      </c>
      <c r="I39">
        <f t="shared" si="8"/>
        <v>1</v>
      </c>
    </row>
    <row r="40" spans="1:11">
      <c r="B40">
        <f t="shared" ref="B40:I40" si="9">B39*SUM($I$10:$I$13)</f>
        <v>11460.076045627375</v>
      </c>
      <c r="C40">
        <f t="shared" si="9"/>
        <v>9767.110266159696</v>
      </c>
      <c r="D40">
        <f t="shared" si="9"/>
        <v>9767.110266159696</v>
      </c>
      <c r="E40">
        <f>E39*SUM($I$10:$I$13)</f>
        <v>8985.7414448669206</v>
      </c>
      <c r="F40">
        <f t="shared" si="9"/>
        <v>8985.7414448669206</v>
      </c>
      <c r="G40">
        <f t="shared" si="9"/>
        <v>16929.657794676805</v>
      </c>
      <c r="H40">
        <f t="shared" si="9"/>
        <v>2604.5627376425855</v>
      </c>
      <c r="I40">
        <f t="shared" si="9"/>
        <v>68500</v>
      </c>
    </row>
    <row r="41" spans="1:11">
      <c r="I41" s="51"/>
    </row>
    <row r="42" spans="1:11" hidden="1">
      <c r="B42" s="75"/>
      <c r="C42" s="75"/>
      <c r="D42" s="75"/>
      <c r="E42" s="75"/>
      <c r="F42" s="75"/>
      <c r="G42" s="75"/>
      <c r="H42" s="75"/>
      <c r="I42" s="75"/>
    </row>
    <row r="43" spans="1:11" hidden="1">
      <c r="A43" t="s">
        <v>40</v>
      </c>
      <c r="B43" s="78">
        <f>B31/$I31*SUM(B$10:B$13)</f>
        <v>2865.0190114068441</v>
      </c>
      <c r="C43" s="78">
        <f t="shared" ref="C43:H49" si="10">C31/$I31*SUM(C$10:C$13)</f>
        <v>2292.0152091254749</v>
      </c>
      <c r="D43" s="78">
        <f t="shared" si="10"/>
        <v>1354.3726235741447</v>
      </c>
      <c r="E43" s="78">
        <f t="shared" si="10"/>
        <v>4073.5361216730034</v>
      </c>
      <c r="F43" s="78">
        <f t="shared" si="10"/>
        <v>0</v>
      </c>
      <c r="G43" s="78">
        <f>G31/$I31*SUM(G$10:G$13)</f>
        <v>0</v>
      </c>
      <c r="H43" s="78">
        <f>H31/$I31*SUM(H$10:H$13)</f>
        <v>0</v>
      </c>
      <c r="I43" s="78"/>
    </row>
    <row r="44" spans="1:11" hidden="1">
      <c r="A44" t="s">
        <v>41</v>
      </c>
      <c r="B44" s="78">
        <f t="shared" ref="B44:B49" si="11">B32/$I32*SUM(B$10:B$13)</f>
        <v>2441.777566539924</v>
      </c>
      <c r="C44" s="78">
        <f t="shared" si="10"/>
        <v>1953.4220532319387</v>
      </c>
      <c r="D44" s="78">
        <f t="shared" si="10"/>
        <v>1154.294849637055</v>
      </c>
      <c r="E44" s="78">
        <f t="shared" si="10"/>
        <v>0</v>
      </c>
      <c r="F44" s="78">
        <f t="shared" si="10"/>
        <v>0</v>
      </c>
      <c r="G44" s="78">
        <f t="shared" si="10"/>
        <v>2270.1132042862082</v>
      </c>
      <c r="H44" s="78">
        <f t="shared" si="10"/>
        <v>384.76494987901833</v>
      </c>
      <c r="I44" s="78"/>
    </row>
    <row r="45" spans="1:11" hidden="1">
      <c r="A45" t="s">
        <v>42</v>
      </c>
      <c r="B45" s="78">
        <f t="shared" si="11"/>
        <v>4132.2389587598709</v>
      </c>
      <c r="C45" s="78">
        <f t="shared" si="10"/>
        <v>3305.7911670078961</v>
      </c>
      <c r="D45" s="78">
        <f t="shared" si="10"/>
        <v>1953.4220532319391</v>
      </c>
      <c r="E45" s="78">
        <f t="shared" si="10"/>
        <v>0</v>
      </c>
      <c r="F45" s="78">
        <f t="shared" si="10"/>
        <v>0</v>
      </c>
      <c r="G45" s="78">
        <f t="shared" si="10"/>
        <v>0</v>
      </c>
      <c r="H45" s="78">
        <f t="shared" si="10"/>
        <v>0</v>
      </c>
      <c r="I45" s="78"/>
    </row>
    <row r="46" spans="1:11" hidden="1">
      <c r="A46" t="s">
        <v>43</v>
      </c>
      <c r="B46" s="78">
        <f t="shared" si="11"/>
        <v>0</v>
      </c>
      <c r="C46" s="78">
        <f t="shared" si="10"/>
        <v>1685.3053008275551</v>
      </c>
      <c r="D46" s="78">
        <f t="shared" si="10"/>
        <v>995.86222321628281</v>
      </c>
      <c r="E46" s="78">
        <f t="shared" si="10"/>
        <v>2995.2471482889737</v>
      </c>
      <c r="F46" s="78">
        <f t="shared" si="10"/>
        <v>3641.2808469395359</v>
      </c>
      <c r="G46" s="78">
        <f t="shared" si="10"/>
        <v>1958.5290389920226</v>
      </c>
      <c r="H46" s="78">
        <f t="shared" si="10"/>
        <v>0</v>
      </c>
      <c r="I46" s="78"/>
    </row>
    <row r="47" spans="1:11" hidden="1">
      <c r="A47" t="s">
        <v>44</v>
      </c>
      <c r="B47" s="78">
        <f t="shared" si="11"/>
        <v>1732.8744020605914</v>
      </c>
      <c r="C47" s="78">
        <f t="shared" si="10"/>
        <v>1386.2995216484728</v>
      </c>
      <c r="D47" s="78">
        <f t="shared" si="10"/>
        <v>819.17699006500686</v>
      </c>
      <c r="E47" s="78">
        <f t="shared" si="10"/>
        <v>2463.8323316570586</v>
      </c>
      <c r="F47" s="78">
        <f t="shared" si="10"/>
        <v>2995.2471482889732</v>
      </c>
      <c r="G47" s="78">
        <f t="shared" si="10"/>
        <v>1611.04808046118</v>
      </c>
      <c r="H47" s="78">
        <f t="shared" si="10"/>
        <v>0</v>
      </c>
      <c r="I47" s="78"/>
    </row>
    <row r="48" spans="1:11" hidden="1">
      <c r="A48" t="s">
        <v>45</v>
      </c>
      <c r="B48" s="78">
        <f t="shared" si="11"/>
        <v>0</v>
      </c>
      <c r="C48" s="78">
        <f t="shared" si="10"/>
        <v>0</v>
      </c>
      <c r="D48" s="78">
        <f t="shared" si="10"/>
        <v>0</v>
      </c>
      <c r="E48" s="78">
        <f t="shared" si="10"/>
        <v>0</v>
      </c>
      <c r="F48" s="78">
        <f t="shared" si="10"/>
        <v>6295.0957014886899</v>
      </c>
      <c r="G48" s="78">
        <f t="shared" si="10"/>
        <v>3385.9315589353614</v>
      </c>
      <c r="H48" s="78">
        <f t="shared" si="10"/>
        <v>573.88670490429854</v>
      </c>
      <c r="I48" s="78"/>
    </row>
    <row r="49" spans="1:10" hidden="1">
      <c r="A49" t="s">
        <v>46</v>
      </c>
      <c r="B49" s="78">
        <f t="shared" si="11"/>
        <v>0</v>
      </c>
      <c r="C49" s="78">
        <f t="shared" si="10"/>
        <v>0</v>
      </c>
      <c r="D49" s="78">
        <f t="shared" si="10"/>
        <v>0</v>
      </c>
      <c r="E49" s="78">
        <f t="shared" si="10"/>
        <v>0</v>
      </c>
      <c r="F49" s="78">
        <f t="shared" si="10"/>
        <v>0</v>
      </c>
      <c r="G49" s="78">
        <f>G37/$I37*SUM(G$10:G$13)</f>
        <v>7683.4600760456278</v>
      </c>
      <c r="H49" s="78">
        <f t="shared" si="10"/>
        <v>0</v>
      </c>
      <c r="I49" s="78"/>
    </row>
    <row r="50" spans="1:10" hidden="1">
      <c r="A50" s="53" t="s">
        <v>47</v>
      </c>
      <c r="B50" s="76">
        <f t="shared" ref="B50:H50" si="12">SUM(B43:B49)</f>
        <v>11171.909938767232</v>
      </c>
      <c r="C50" s="76">
        <f t="shared" si="12"/>
        <v>10622.833251841337</v>
      </c>
      <c r="D50" s="76">
        <f t="shared" si="12"/>
        <v>6277.1287397244278</v>
      </c>
      <c r="E50" s="76">
        <f t="shared" si="12"/>
        <v>9532.6156016190362</v>
      </c>
      <c r="F50" s="76">
        <f t="shared" si="12"/>
        <v>12931.623696717199</v>
      </c>
      <c r="G50" s="76">
        <f t="shared" si="12"/>
        <v>16909.081958720399</v>
      </c>
      <c r="H50" s="76">
        <f t="shared" si="12"/>
        <v>958.65165478331687</v>
      </c>
      <c r="I50" s="76">
        <f>SUM(B50:H50)</f>
        <v>68403.844842172955</v>
      </c>
      <c r="J50" s="76">
        <f>I50/134</f>
        <v>510.47645404606681</v>
      </c>
    </row>
    <row r="51" spans="1:10" hidden="1">
      <c r="B51" s="76">
        <f>B50/22</f>
        <v>507.81408812578326</v>
      </c>
      <c r="C51" s="76">
        <f t="shared" ref="C51:H51" si="13">C50/22</f>
        <v>482.85605690187896</v>
      </c>
      <c r="D51" s="76">
        <f t="shared" si="13"/>
        <v>285.32403362383764</v>
      </c>
      <c r="E51" s="76">
        <f t="shared" si="13"/>
        <v>433.30070916450165</v>
      </c>
      <c r="F51" s="76">
        <f t="shared" si="13"/>
        <v>587.801077123509</v>
      </c>
      <c r="G51" s="76">
        <f t="shared" si="13"/>
        <v>768.59463448729082</v>
      </c>
      <c r="H51" s="76">
        <f t="shared" si="13"/>
        <v>43.575075217423496</v>
      </c>
      <c r="I51" s="78"/>
    </row>
    <row r="52" spans="1:10">
      <c r="B52" s="76"/>
      <c r="C52" s="76"/>
      <c r="D52" s="76"/>
      <c r="E52" s="76"/>
      <c r="F52" s="76"/>
      <c r="G52" s="76"/>
      <c r="H52" s="76"/>
    </row>
    <row r="53" spans="1:10">
      <c r="B53" s="76"/>
      <c r="C53" s="76"/>
      <c r="D53" s="76"/>
      <c r="E53" s="76"/>
      <c r="F53" s="76"/>
      <c r="G53" s="76"/>
      <c r="H53" s="76"/>
      <c r="I53" s="51"/>
    </row>
    <row r="54" spans="1:10">
      <c r="B54" s="76"/>
      <c r="C54" s="76"/>
      <c r="D54" s="76"/>
      <c r="E54" s="76"/>
      <c r="F54" s="76"/>
      <c r="G54" s="76"/>
      <c r="H54" s="76"/>
    </row>
    <row r="55" spans="1:10">
      <c r="B55" s="76"/>
      <c r="C55" s="76"/>
      <c r="D55" s="76"/>
      <c r="E55" s="76"/>
      <c r="F55" s="76"/>
      <c r="G55" s="76"/>
      <c r="H55" s="76"/>
      <c r="I55" s="51"/>
    </row>
    <row r="56" spans="1:10">
      <c r="B56" s="76"/>
      <c r="C56" s="76"/>
      <c r="D56" s="76"/>
      <c r="E56" s="76"/>
      <c r="F56" s="76"/>
      <c r="G56" s="76"/>
      <c r="H56" s="76"/>
    </row>
    <row r="57" spans="1:10">
      <c r="B57" s="76"/>
      <c r="C57" s="76"/>
      <c r="D57" s="76"/>
      <c r="E57" s="76"/>
      <c r="F57" s="76"/>
      <c r="G57" s="76">
        <f>37453+59490</f>
        <v>96943</v>
      </c>
      <c r="H57" s="89">
        <f>10/23</f>
        <v>0.43478260869565216</v>
      </c>
      <c r="I57" s="51"/>
    </row>
    <row r="58" spans="1:10">
      <c r="A58" s="51"/>
      <c r="B58" s="77"/>
      <c r="C58" s="77"/>
      <c r="D58" s="77"/>
      <c r="E58" s="77"/>
      <c r="F58" s="77"/>
      <c r="G58" s="90">
        <f>G2/G57</f>
        <v>0.56358891307263026</v>
      </c>
      <c r="H58" s="77"/>
    </row>
    <row r="59" spans="1:10">
      <c r="A59" s="51"/>
      <c r="B59" s="76"/>
      <c r="C59" s="76"/>
      <c r="D59" s="76"/>
      <c r="E59" s="76"/>
      <c r="F59" s="76"/>
      <c r="G59" s="76"/>
      <c r="H59" s="76"/>
      <c r="I59" s="51"/>
    </row>
    <row r="61" spans="1:10">
      <c r="I61" s="51"/>
    </row>
  </sheetData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0"/>
  <sheetViews>
    <sheetView workbookViewId="0">
      <pane xSplit="1" ySplit="1" topLeftCell="B2" activePane="bottomRight" state="frozen"/>
      <selection pane="bottomRight" activeCell="K18" sqref="K18:K25"/>
      <selection pane="bottomLeft" activeCell="A2" sqref="A2"/>
      <selection pane="topRight" activeCell="B1" sqref="B1"/>
    </sheetView>
  </sheetViews>
  <sheetFormatPr defaultRowHeight="12.75"/>
  <cols>
    <col min="1" max="1" width="44.5703125" bestFit="1" customWidth="1"/>
    <col min="2" max="14" width="22.28515625" customWidth="1"/>
  </cols>
  <sheetData>
    <row r="1" spans="1:16">
      <c r="A1" s="1"/>
      <c r="B1" s="3" t="s">
        <v>0</v>
      </c>
      <c r="C1" s="2" t="s">
        <v>1</v>
      </c>
      <c r="D1" s="3" t="s">
        <v>2</v>
      </c>
      <c r="E1" s="4" t="s">
        <v>3</v>
      </c>
      <c r="F1" s="5" t="s">
        <v>4</v>
      </c>
      <c r="G1" s="6" t="s">
        <v>5</v>
      </c>
      <c r="H1" s="5" t="s">
        <v>6</v>
      </c>
      <c r="I1" s="7" t="s">
        <v>7</v>
      </c>
      <c r="J1" s="1"/>
      <c r="K1" s="1"/>
      <c r="L1" s="1"/>
      <c r="M1" s="1"/>
    </row>
    <row r="2" spans="1:16">
      <c r="A2" s="1" t="s">
        <v>8</v>
      </c>
      <c r="B2" s="58">
        <f>0.6*(11710*4)+27500</f>
        <v>55604</v>
      </c>
      <c r="C2" s="59">
        <f>0.05*(11710*4)</f>
        <v>2342</v>
      </c>
      <c r="D2" s="58">
        <v>0</v>
      </c>
      <c r="E2" s="60">
        <v>0</v>
      </c>
      <c r="F2" s="61">
        <v>0</v>
      </c>
      <c r="G2" s="62">
        <f>0.35*(11710*4)+27500</f>
        <v>43894</v>
      </c>
      <c r="H2" s="61">
        <v>0</v>
      </c>
      <c r="I2" s="62">
        <f>SUM(B2:H2)</f>
        <v>101840</v>
      </c>
      <c r="J2" s="1"/>
      <c r="K2" s="1"/>
      <c r="L2" s="1"/>
      <c r="M2" s="1"/>
    </row>
    <row r="3" spans="1:16">
      <c r="A3" s="1" t="s">
        <v>9</v>
      </c>
      <c r="B3" s="58">
        <f>0.54*I3</f>
        <v>21600</v>
      </c>
      <c r="C3" s="59">
        <v>0</v>
      </c>
      <c r="D3" s="58">
        <v>0</v>
      </c>
      <c r="E3" s="60">
        <v>0</v>
      </c>
      <c r="F3" s="61">
        <v>0</v>
      </c>
      <c r="G3" s="62">
        <f>0.46*I3</f>
        <v>18400</v>
      </c>
      <c r="H3" s="61">
        <v>0</v>
      </c>
      <c r="I3" s="62">
        <v>40000</v>
      </c>
      <c r="J3" s="1"/>
      <c r="K3" s="1"/>
      <c r="L3" s="1"/>
      <c r="M3" s="1"/>
    </row>
    <row r="4" spans="1:16">
      <c r="A4" s="1" t="s">
        <v>10</v>
      </c>
      <c r="B4" s="58">
        <v>10000</v>
      </c>
      <c r="C4" s="59"/>
      <c r="D4" s="58"/>
      <c r="E4" s="60"/>
      <c r="F4" s="61"/>
      <c r="G4" s="62">
        <v>7500</v>
      </c>
      <c r="H4" s="61"/>
      <c r="I4" s="62">
        <v>0</v>
      </c>
      <c r="J4" s="1"/>
      <c r="K4" s="1"/>
      <c r="L4" s="1"/>
      <c r="M4" s="1"/>
    </row>
    <row r="5" spans="1:16">
      <c r="A5" s="1" t="s">
        <v>11</v>
      </c>
      <c r="B5" s="58">
        <v>0</v>
      </c>
      <c r="C5" s="59">
        <v>0</v>
      </c>
      <c r="D5" s="58">
        <f>(2039*4)</f>
        <v>8156</v>
      </c>
      <c r="E5" s="60">
        <v>0</v>
      </c>
      <c r="F5" s="61">
        <v>0</v>
      </c>
      <c r="G5" s="62">
        <v>0</v>
      </c>
      <c r="H5" s="61">
        <v>0</v>
      </c>
      <c r="I5" s="62">
        <f>SUM(B5:H5)</f>
        <v>8156</v>
      </c>
      <c r="J5" s="1"/>
      <c r="K5" s="1"/>
      <c r="L5" s="1"/>
      <c r="M5" s="1"/>
    </row>
    <row r="6" spans="1:16">
      <c r="A6" s="1" t="s">
        <v>12</v>
      </c>
      <c r="B6" s="58">
        <v>40700.895000000004</v>
      </c>
      <c r="C6" s="59">
        <v>1670.0250000000001</v>
      </c>
      <c r="D6" s="58">
        <v>2385.75</v>
      </c>
      <c r="E6" s="60">
        <v>2385.75</v>
      </c>
      <c r="F6" s="61">
        <v>5725.8</v>
      </c>
      <c r="G6" s="62">
        <v>10735.875</v>
      </c>
      <c r="H6" s="61">
        <v>4771.5</v>
      </c>
      <c r="I6" s="62">
        <f>SUM(B6:H6)</f>
        <v>68375.595000000001</v>
      </c>
      <c r="J6" s="1"/>
      <c r="K6" s="1"/>
      <c r="L6" s="1"/>
      <c r="M6" s="1"/>
    </row>
    <row r="7" spans="1:16" hidden="1">
      <c r="A7" s="1" t="s">
        <v>13</v>
      </c>
      <c r="B7" s="58">
        <v>0</v>
      </c>
      <c r="C7" s="59">
        <v>0</v>
      </c>
      <c r="D7" s="58">
        <v>0</v>
      </c>
      <c r="E7" s="60">
        <v>0</v>
      </c>
      <c r="F7" s="61">
        <v>0</v>
      </c>
      <c r="G7" s="62">
        <v>0</v>
      </c>
      <c r="H7" s="61">
        <v>0</v>
      </c>
      <c r="I7" s="62"/>
      <c r="J7" s="1"/>
      <c r="K7" s="1"/>
      <c r="L7" s="1"/>
      <c r="M7" s="1"/>
    </row>
    <row r="8" spans="1:16">
      <c r="A8" s="1" t="s">
        <v>14</v>
      </c>
      <c r="B8" s="58">
        <v>9000</v>
      </c>
      <c r="C8" s="59">
        <v>0</v>
      </c>
      <c r="D8" s="58">
        <v>0</v>
      </c>
      <c r="E8" s="60">
        <v>0</v>
      </c>
      <c r="F8" s="61">
        <v>0</v>
      </c>
      <c r="G8" s="62">
        <v>9000</v>
      </c>
      <c r="H8" s="61">
        <v>0</v>
      </c>
      <c r="I8" s="62">
        <f>SUM(B8:H8)</f>
        <v>18000</v>
      </c>
      <c r="J8" s="1"/>
      <c r="K8" s="1"/>
      <c r="L8" s="1"/>
      <c r="M8" s="1"/>
    </row>
    <row r="9" spans="1:16" s="57" customFormat="1">
      <c r="A9" s="18" t="s">
        <v>15</v>
      </c>
      <c r="B9" s="79">
        <f t="shared" ref="B9:H9" si="0">SUM(B2:B8)</f>
        <v>136904.89500000002</v>
      </c>
      <c r="C9" s="81">
        <f t="shared" si="0"/>
        <v>4012.0250000000001</v>
      </c>
      <c r="D9" s="79">
        <f t="shared" si="0"/>
        <v>10541.75</v>
      </c>
      <c r="E9" s="82">
        <f t="shared" si="0"/>
        <v>2385.75</v>
      </c>
      <c r="F9" s="83">
        <f t="shared" si="0"/>
        <v>5725.8</v>
      </c>
      <c r="G9" s="80">
        <f t="shared" si="0"/>
        <v>89529.875</v>
      </c>
      <c r="H9" s="83">
        <f t="shared" si="0"/>
        <v>4771.5</v>
      </c>
      <c r="I9" s="80">
        <f>SUM(B9:H9)</f>
        <v>253871.595</v>
      </c>
      <c r="J9" s="18"/>
      <c r="K9" s="18"/>
      <c r="L9" s="18"/>
      <c r="M9" s="18"/>
    </row>
    <row r="10" spans="1:16">
      <c r="A10" s="1" t="s">
        <v>16</v>
      </c>
      <c r="B10" s="58">
        <f>(75/526)*I10</f>
        <v>1069.3916349809886</v>
      </c>
      <c r="C10" s="59">
        <f>(88/526)*I10</f>
        <v>1254.7528517110266</v>
      </c>
      <c r="D10" s="58">
        <f>(52/526)*I10</f>
        <v>741.44486692015209</v>
      </c>
      <c r="E10" s="60">
        <f>(102/526)*I10</f>
        <v>1454.3726235741444</v>
      </c>
      <c r="F10" s="61">
        <f>(124/526)*I10</f>
        <v>1768.0608365019011</v>
      </c>
      <c r="G10" s="62">
        <f>(59/526)*I10</f>
        <v>841.25475285171103</v>
      </c>
      <c r="H10" s="61">
        <f>(26/526)*I10</f>
        <v>370.72243346007605</v>
      </c>
      <c r="I10" s="62">
        <v>7500</v>
      </c>
      <c r="J10" s="1"/>
      <c r="K10" s="1"/>
      <c r="L10" s="1"/>
      <c r="M10" s="1"/>
    </row>
    <row r="11" spans="1:16">
      <c r="A11" s="1" t="s">
        <v>17</v>
      </c>
      <c r="B11" s="58">
        <f t="shared" ref="B11:B13" si="1">(75/526)*I11</f>
        <v>2887.3574144486693</v>
      </c>
      <c r="C11" s="59">
        <f>(88/526)*I11</f>
        <v>3387.8326996197716</v>
      </c>
      <c r="D11" s="58">
        <f>(52/526)*I11</f>
        <v>2001.9011406844106</v>
      </c>
      <c r="E11" s="60">
        <f>(102/526)*I11</f>
        <v>3926.80608365019</v>
      </c>
      <c r="F11" s="61">
        <f t="shared" ref="F11:F13" si="2">(124/526)*I11</f>
        <v>4773.764258555133</v>
      </c>
      <c r="G11" s="62">
        <f>(59/526)*I11</f>
        <v>2271.3878326996196</v>
      </c>
      <c r="H11" s="61">
        <f>(26/526)*I11</f>
        <v>1000.9505703422053</v>
      </c>
      <c r="I11" s="62">
        <f>3000*5*1.35</f>
        <v>20250</v>
      </c>
      <c r="J11" s="1"/>
      <c r="K11" s="1"/>
      <c r="L11" s="1"/>
      <c r="M11" s="1"/>
      <c r="P11" s="52"/>
    </row>
    <row r="12" spans="1:16">
      <c r="A12" s="54" t="s">
        <v>18</v>
      </c>
      <c r="B12" s="58">
        <f t="shared" si="1"/>
        <v>4387.0722433460078</v>
      </c>
      <c r="C12" s="59">
        <f>(88/526)*I12</f>
        <v>5147.4980988593152</v>
      </c>
      <c r="D12" s="58">
        <f>(52/526)*I12</f>
        <v>3041.7034220532319</v>
      </c>
      <c r="E12" s="60">
        <f>(102/526)*I12</f>
        <v>5966.4182509505699</v>
      </c>
      <c r="F12" s="61">
        <f t="shared" si="2"/>
        <v>7253.2927756653989</v>
      </c>
      <c r="G12" s="62">
        <f>(59/526)*I12</f>
        <v>3451.1634980988592</v>
      </c>
      <c r="H12" s="61">
        <f>(26/526)*I12</f>
        <v>1520.8517110266159</v>
      </c>
      <c r="I12" s="63">
        <f>2564*12</f>
        <v>30768</v>
      </c>
      <c r="J12" s="1"/>
      <c r="K12" s="1"/>
      <c r="L12" s="1"/>
      <c r="M12" s="1"/>
    </row>
    <row r="13" spans="1:16">
      <c r="A13" s="1" t="s">
        <v>19</v>
      </c>
      <c r="B13" s="58">
        <f t="shared" si="1"/>
        <v>712.92775665399233</v>
      </c>
      <c r="C13" s="59">
        <f>(88/526)*I13</f>
        <v>836.50190114068437</v>
      </c>
      <c r="D13" s="58">
        <f>(52/526)*I13</f>
        <v>494.29657794676808</v>
      </c>
      <c r="E13" s="60">
        <f>(102/526)*I13</f>
        <v>969.58174904942962</v>
      </c>
      <c r="F13" s="61">
        <f t="shared" si="2"/>
        <v>1178.7072243346006</v>
      </c>
      <c r="G13" s="62">
        <f>(59/526)*I13</f>
        <v>560.83650190114065</v>
      </c>
      <c r="H13" s="61">
        <f>(26/526)*I13</f>
        <v>247.14828897338404</v>
      </c>
      <c r="I13" s="62">
        <v>5000</v>
      </c>
      <c r="J13" s="1"/>
      <c r="K13" s="1"/>
      <c r="L13" s="1"/>
      <c r="M13" s="1"/>
    </row>
    <row r="14" spans="1:16" s="57" customFormat="1">
      <c r="A14" s="18" t="s">
        <v>15</v>
      </c>
      <c r="B14" s="79">
        <f t="shared" ref="B14:H14" si="3">SUM(B9:B13)</f>
        <v>145961.64404942968</v>
      </c>
      <c r="C14" s="79">
        <f t="shared" si="3"/>
        <v>14638.610551330796</v>
      </c>
      <c r="D14" s="79">
        <f t="shared" si="3"/>
        <v>16821.096007604563</v>
      </c>
      <c r="E14" s="79">
        <f t="shared" si="3"/>
        <v>14702.928707224335</v>
      </c>
      <c r="F14" s="79">
        <f t="shared" si="3"/>
        <v>20699.625095057036</v>
      </c>
      <c r="G14" s="79">
        <f t="shared" si="3"/>
        <v>96654.517585551337</v>
      </c>
      <c r="H14" s="79">
        <f t="shared" si="3"/>
        <v>7911.1730038022815</v>
      </c>
      <c r="I14" s="80">
        <f>SUM(B14:H14)</f>
        <v>317389.59500000009</v>
      </c>
      <c r="J14" s="18"/>
      <c r="K14" s="18"/>
      <c r="L14" s="18"/>
      <c r="M14" s="18"/>
      <c r="N14" s="77"/>
    </row>
    <row r="15" spans="1:16" s="57" customFormat="1">
      <c r="A15" s="18"/>
      <c r="B15" s="79"/>
      <c r="C15" s="79"/>
      <c r="D15" s="79"/>
      <c r="E15" s="79"/>
      <c r="F15" s="79"/>
      <c r="G15" s="79"/>
      <c r="H15" s="79"/>
      <c r="I15" s="80"/>
      <c r="J15" s="18"/>
      <c r="K15" s="18"/>
      <c r="L15" s="18"/>
      <c r="M15" s="18"/>
      <c r="N15" s="77"/>
    </row>
    <row r="16" spans="1:16" s="84" customFormat="1">
      <c r="A16" s="84" t="s">
        <v>20</v>
      </c>
      <c r="B16" s="85"/>
      <c r="C16" s="85"/>
      <c r="D16" s="85"/>
      <c r="E16" s="85"/>
      <c r="F16" s="85"/>
      <c r="G16" s="85"/>
      <c r="H16" s="85"/>
      <c r="I16" s="85"/>
      <c r="N16" s="86"/>
    </row>
    <row r="17" spans="1:18">
      <c r="A17" s="20" t="s">
        <v>21</v>
      </c>
      <c r="B17" s="64"/>
      <c r="C17" s="64"/>
      <c r="D17" s="64"/>
      <c r="E17" s="64"/>
      <c r="F17" s="64"/>
      <c r="G17" s="64"/>
      <c r="H17" s="64"/>
      <c r="I17" s="64"/>
      <c r="J17" s="22" t="s">
        <v>22</v>
      </c>
      <c r="K17" s="22" t="s">
        <v>23</v>
      </c>
      <c r="L17" s="22">
        <v>2019</v>
      </c>
      <c r="M17" s="22">
        <v>2018</v>
      </c>
      <c r="N17" s="57" t="s">
        <v>48</v>
      </c>
      <c r="O17" s="22" t="s">
        <v>49</v>
      </c>
      <c r="P17" s="22" t="s">
        <v>24</v>
      </c>
    </row>
    <row r="18" spans="1:18">
      <c r="A18" s="33" t="s">
        <v>25</v>
      </c>
      <c r="B18" s="65">
        <f>(B14*22/75)</f>
        <v>42815.415587832707</v>
      </c>
      <c r="C18" s="65">
        <f>C14*22/88</f>
        <v>3659.6526378326989</v>
      </c>
      <c r="D18" s="65">
        <f>D14*22/52</f>
        <v>7116.6175416788528</v>
      </c>
      <c r="E18" s="66" t="s">
        <v>26</v>
      </c>
      <c r="F18" s="65">
        <f>F14*22/124</f>
        <v>3672.5141297681839</v>
      </c>
      <c r="G18" s="66" t="s">
        <v>26</v>
      </c>
      <c r="H18" s="66" t="s">
        <v>26</v>
      </c>
      <c r="I18" s="66"/>
      <c r="J18" s="65">
        <f>SUM(B18:I18)/22</f>
        <v>2602.9181771414746</v>
      </c>
      <c r="K18" s="38">
        <f>J18/12</f>
        <v>216.9098480951229</v>
      </c>
      <c r="L18" s="38">
        <v>206.9652405650348</v>
      </c>
      <c r="M18" s="38">
        <v>186.92849443567184</v>
      </c>
      <c r="N18" s="49">
        <v>1234.8013547811227</v>
      </c>
      <c r="O18" s="49">
        <f>J18-N18</f>
        <v>1368.116822360352</v>
      </c>
      <c r="P18" s="49">
        <f>J18/2</f>
        <v>1301.4590885707373</v>
      </c>
      <c r="Q18" s="49"/>
    </row>
    <row r="19" spans="1:18">
      <c r="A19" s="23" t="s">
        <v>27</v>
      </c>
      <c r="B19" s="67">
        <f>(B14*15/75)</f>
        <v>29192.328809885934</v>
      </c>
      <c r="C19" s="67">
        <f>C14*15/88</f>
        <v>2495.2177076132039</v>
      </c>
      <c r="D19" s="67">
        <f>D14*15/52</f>
        <v>4852.2392329628547</v>
      </c>
      <c r="E19" s="67">
        <f>E14*15/102</f>
        <v>2162.1953981212255</v>
      </c>
      <c r="F19" s="67">
        <f>F14*15/124</f>
        <v>2503.9869066601254</v>
      </c>
      <c r="G19" s="68" t="s">
        <v>26</v>
      </c>
      <c r="H19" s="68" t="s">
        <v>26</v>
      </c>
      <c r="I19" s="68"/>
      <c r="J19" s="67">
        <f>SUM(B19:I19)/15</f>
        <v>2747.0645370162229</v>
      </c>
      <c r="K19" s="27">
        <f>J19/12</f>
        <v>228.9220447513519</v>
      </c>
      <c r="L19" s="27">
        <v>217.69049467174719</v>
      </c>
      <c r="M19" s="27">
        <v>194.77781749823021</v>
      </c>
      <c r="N19" s="49">
        <v>1300.9615622291212</v>
      </c>
      <c r="O19" s="49">
        <f t="shared" ref="O19:O25" si="4">J19-N19</f>
        <v>1446.1029747871016</v>
      </c>
      <c r="P19" s="49">
        <f t="shared" ref="P19:P25" si="5">J19/2</f>
        <v>1373.5322685081114</v>
      </c>
      <c r="Q19" s="49"/>
    </row>
    <row r="20" spans="1:18">
      <c r="A20" s="28" t="s">
        <v>28</v>
      </c>
      <c r="B20" s="69">
        <f>B14*15/75</f>
        <v>29192.328809885934</v>
      </c>
      <c r="C20" s="69">
        <f>C14*15/88</f>
        <v>2495.2177076132039</v>
      </c>
      <c r="D20" s="69">
        <f>D14*15/52</f>
        <v>4852.2392329628547</v>
      </c>
      <c r="E20" s="69">
        <f>E14*15/102</f>
        <v>2162.1953981212255</v>
      </c>
      <c r="F20" s="69">
        <f>F14*15/124</f>
        <v>2503.9869066601254</v>
      </c>
      <c r="G20" s="70" t="s">
        <v>26</v>
      </c>
      <c r="H20" s="70" t="s">
        <v>26</v>
      </c>
      <c r="I20" s="70"/>
      <c r="J20" s="69">
        <f>SUM(B20:H20)/15</f>
        <v>2747.0645370162229</v>
      </c>
      <c r="K20" s="32">
        <f>J20/12</f>
        <v>228.9220447513519</v>
      </c>
      <c r="L20" s="32">
        <v>217.69049467174719</v>
      </c>
      <c r="M20" s="32">
        <v>194.77781749823021</v>
      </c>
      <c r="N20" s="49">
        <v>1300.9615622291212</v>
      </c>
      <c r="O20" s="49">
        <f t="shared" si="4"/>
        <v>1446.1029747871016</v>
      </c>
      <c r="P20" s="49">
        <f t="shared" si="5"/>
        <v>1373.5322685081114</v>
      </c>
      <c r="Q20" s="49"/>
    </row>
    <row r="21" spans="1:18">
      <c r="A21" s="33" t="s">
        <v>29</v>
      </c>
      <c r="B21" s="65">
        <f>B14*23/75</f>
        <v>44761.570841825102</v>
      </c>
      <c r="C21" s="66" t="s">
        <v>26</v>
      </c>
      <c r="D21" s="66" t="s">
        <v>26</v>
      </c>
      <c r="E21" s="65">
        <f>E14*23/102</f>
        <v>3315.3662771192126</v>
      </c>
      <c r="F21" s="65">
        <f>F14*23/124</f>
        <v>3839.4465902121919</v>
      </c>
      <c r="G21" s="66" t="s">
        <v>26</v>
      </c>
      <c r="H21" s="66" t="s">
        <v>26</v>
      </c>
      <c r="I21" s="66"/>
      <c r="J21" s="65">
        <f>SUM(B21:H21)</f>
        <v>51916.383709156507</v>
      </c>
      <c r="K21" s="38">
        <f>J21/12</f>
        <v>4326.3653090963753</v>
      </c>
      <c r="L21" s="38">
        <v>4082.78564848017</v>
      </c>
      <c r="M21" s="38">
        <v>3539.3895110840035</v>
      </c>
      <c r="N21" s="49">
        <v>24586.730069117439</v>
      </c>
      <c r="O21" s="49">
        <f t="shared" si="4"/>
        <v>27329.653640039069</v>
      </c>
      <c r="P21" s="49">
        <f t="shared" si="5"/>
        <v>25958.191854578254</v>
      </c>
      <c r="Q21" s="49"/>
      <c r="R21" s="49"/>
    </row>
    <row r="22" spans="1:18">
      <c r="A22" s="22"/>
      <c r="B22" s="64"/>
      <c r="C22" s="64"/>
      <c r="D22" s="64"/>
      <c r="E22" s="71"/>
      <c r="F22" s="71"/>
      <c r="G22" s="64"/>
      <c r="H22" s="64"/>
      <c r="I22" s="64"/>
      <c r="J22" s="71"/>
      <c r="K22" s="42"/>
      <c r="L22" s="42"/>
      <c r="M22" s="42"/>
      <c r="O22" s="49"/>
      <c r="P22" s="49">
        <f t="shared" si="5"/>
        <v>0</v>
      </c>
    </row>
    <row r="23" spans="1:18">
      <c r="A23" s="43" t="s">
        <v>30</v>
      </c>
      <c r="B23" s="72" t="s">
        <v>26</v>
      </c>
      <c r="C23" s="72" t="s">
        <v>26</v>
      </c>
      <c r="D23" s="72" t="s">
        <v>26</v>
      </c>
      <c r="E23" s="73">
        <f>E14*23/102</f>
        <v>3315.3662771192126</v>
      </c>
      <c r="F23" s="73">
        <f>F14*23/124</f>
        <v>3839.4465902121919</v>
      </c>
      <c r="G23" s="73">
        <f>G14*23/59</f>
        <v>37678.879736740353</v>
      </c>
      <c r="H23" s="72" t="s">
        <v>26</v>
      </c>
      <c r="I23" s="72"/>
      <c r="J23" s="73">
        <f>SUM(B23:H23)</f>
        <v>44833.692604071759</v>
      </c>
      <c r="K23" s="48">
        <f>J23/12</f>
        <v>3736.1410503393131</v>
      </c>
      <c r="L23" s="48">
        <v>3182.6938594029566</v>
      </c>
      <c r="M23" s="48">
        <v>2750.5218113261344</v>
      </c>
      <c r="N23" s="49">
        <v>19035.599254654167</v>
      </c>
      <c r="O23" s="49">
        <f t="shared" si="4"/>
        <v>25798.093349417592</v>
      </c>
      <c r="P23" s="49">
        <f t="shared" si="5"/>
        <v>22416.846302035879</v>
      </c>
      <c r="Q23" s="49"/>
      <c r="R23" s="49"/>
    </row>
    <row r="24" spans="1:18">
      <c r="A24" s="22" t="s">
        <v>31</v>
      </c>
      <c r="B24" s="64" t="s">
        <v>26</v>
      </c>
      <c r="C24" s="71">
        <f>C14*26/88</f>
        <v>4325.0440265295538</v>
      </c>
      <c r="D24" s="64" t="s">
        <v>26</v>
      </c>
      <c r="E24" s="71">
        <f>E14*26/102</f>
        <v>3747.8053567434581</v>
      </c>
      <c r="F24" s="71">
        <f>F14*26/124</f>
        <v>4340.2439715442179</v>
      </c>
      <c r="G24" s="71">
        <f>G14*26/59</f>
        <v>42593.516224141262</v>
      </c>
      <c r="H24" s="71">
        <f>H14*26/26</f>
        <v>7911.1730038022815</v>
      </c>
      <c r="I24" s="64"/>
      <c r="J24" s="71">
        <f>SUM(B24:H24)/26</f>
        <v>2419.9147147215681</v>
      </c>
      <c r="K24" s="42">
        <f>J24/12</f>
        <v>201.65955956013067</v>
      </c>
      <c r="L24" s="42">
        <v>176.20029982892524</v>
      </c>
      <c r="M24" s="42">
        <v>170.34414859651045</v>
      </c>
      <c r="N24" s="49">
        <v>1047.3479524029588</v>
      </c>
      <c r="O24" s="49">
        <f t="shared" si="4"/>
        <v>1372.5667623186093</v>
      </c>
      <c r="P24" s="49">
        <f t="shared" si="5"/>
        <v>1209.957357360784</v>
      </c>
      <c r="Q24" s="49"/>
    </row>
    <row r="25" spans="1:18">
      <c r="A25" s="43" t="s">
        <v>32</v>
      </c>
      <c r="B25" s="72" t="s">
        <v>26</v>
      </c>
      <c r="C25" s="73">
        <f>C14*10/88</f>
        <v>1663.478471742136</v>
      </c>
      <c r="D25" s="72" t="s">
        <v>26</v>
      </c>
      <c r="E25" s="72" t="s">
        <v>26</v>
      </c>
      <c r="F25" s="72" t="s">
        <v>26</v>
      </c>
      <c r="G25" s="73">
        <f>G14*10/59</f>
        <v>16382.121624669719</v>
      </c>
      <c r="H25" s="72" t="s">
        <v>26</v>
      </c>
      <c r="I25" s="72"/>
      <c r="J25" s="73">
        <f>SUM(B25:H25)</f>
        <v>18045.600096411854</v>
      </c>
      <c r="K25" s="48">
        <f>J25/12</f>
        <v>1503.8000080343211</v>
      </c>
      <c r="L25" s="48">
        <v>1329.8625639816348</v>
      </c>
      <c r="M25" s="48">
        <v>1188.9984591679508</v>
      </c>
      <c r="N25" s="49">
        <v>7609.4017416931274</v>
      </c>
      <c r="O25" s="49">
        <f t="shared" si="4"/>
        <v>10436.198354718726</v>
      </c>
      <c r="P25" s="49">
        <f t="shared" si="5"/>
        <v>9022.8000482059269</v>
      </c>
      <c r="Q25" s="49"/>
    </row>
    <row r="26" spans="1:18" hidden="1">
      <c r="A26" s="43"/>
      <c r="B26" s="44">
        <v>75</v>
      </c>
      <c r="C26" s="45">
        <v>88</v>
      </c>
      <c r="D26" s="44">
        <v>52</v>
      </c>
      <c r="E26" s="44">
        <v>102</v>
      </c>
      <c r="F26" s="44">
        <v>124</v>
      </c>
      <c r="G26" s="45">
        <v>59</v>
      </c>
      <c r="H26" s="44">
        <v>26</v>
      </c>
      <c r="I26" s="46"/>
      <c r="J26" s="47">
        <f>SUM(B26:I26)</f>
        <v>526</v>
      </c>
      <c r="K26" s="48"/>
      <c r="L26" s="48"/>
      <c r="M26" s="48"/>
      <c r="N26" s="49"/>
      <c r="P26" s="49"/>
      <c r="Q26" s="49"/>
    </row>
    <row r="27" spans="1:18" hidden="1">
      <c r="A27" s="43"/>
      <c r="B27" s="56">
        <f t="shared" ref="B27:H27" si="6">B26/$J26</f>
        <v>0.14258555133079848</v>
      </c>
      <c r="C27" s="56">
        <f t="shared" si="6"/>
        <v>0.16730038022813687</v>
      </c>
      <c r="D27" s="56">
        <f t="shared" si="6"/>
        <v>9.8859315589353611E-2</v>
      </c>
      <c r="E27" s="56">
        <f t="shared" si="6"/>
        <v>0.19391634980988592</v>
      </c>
      <c r="F27" s="56">
        <f t="shared" si="6"/>
        <v>0.23574144486692014</v>
      </c>
      <c r="G27" s="56">
        <f t="shared" si="6"/>
        <v>0.11216730038022814</v>
      </c>
      <c r="H27" s="56">
        <f t="shared" si="6"/>
        <v>4.9429657794676805E-2</v>
      </c>
      <c r="I27" s="46"/>
      <c r="J27" s="47"/>
      <c r="K27" s="48"/>
      <c r="L27" s="48"/>
      <c r="M27" s="48"/>
      <c r="N27" s="49"/>
      <c r="P27" s="49"/>
      <c r="Q27" s="49"/>
    </row>
    <row r="28" spans="1:18" hidden="1">
      <c r="A28" s="43"/>
      <c r="B28" s="44"/>
      <c r="C28" s="45"/>
      <c r="D28" s="44"/>
      <c r="E28" s="44"/>
      <c r="F28" s="44"/>
      <c r="G28" s="45"/>
      <c r="H28" s="44"/>
      <c r="I28" s="46"/>
      <c r="J28" s="47"/>
      <c r="K28" s="48"/>
      <c r="L28" s="48"/>
      <c r="M28" s="48"/>
      <c r="N28" s="49"/>
      <c r="P28" s="49"/>
      <c r="Q28" s="49"/>
    </row>
    <row r="29" spans="1:18">
      <c r="B29" s="51" t="s">
        <v>33</v>
      </c>
      <c r="C29" s="51" t="s">
        <v>34</v>
      </c>
      <c r="D29" s="51" t="s">
        <v>35</v>
      </c>
      <c r="E29" s="51" t="s">
        <v>36</v>
      </c>
      <c r="F29" s="51" t="s">
        <v>37</v>
      </c>
      <c r="G29" s="74" t="s">
        <v>38</v>
      </c>
      <c r="H29" s="74" t="s">
        <v>39</v>
      </c>
      <c r="I29" s="50"/>
      <c r="J29" s="50"/>
    </row>
    <row r="30" spans="1:18">
      <c r="A30" t="s">
        <v>40</v>
      </c>
      <c r="B30">
        <v>22</v>
      </c>
      <c r="C30">
        <v>15</v>
      </c>
      <c r="D30">
        <v>15</v>
      </c>
      <c r="E30" s="51">
        <v>23</v>
      </c>
      <c r="F30" s="51"/>
      <c r="G30" s="51"/>
      <c r="H30" s="51"/>
      <c r="I30" s="51">
        <f>SUM(B30:H30)</f>
        <v>75</v>
      </c>
      <c r="J30" s="51"/>
    </row>
    <row r="31" spans="1:18">
      <c r="A31" t="s">
        <v>41</v>
      </c>
      <c r="B31">
        <v>22</v>
      </c>
      <c r="C31">
        <v>15</v>
      </c>
      <c r="D31">
        <v>15</v>
      </c>
      <c r="E31" s="51"/>
      <c r="F31" s="51"/>
      <c r="G31" s="51">
        <v>26</v>
      </c>
      <c r="H31" s="51">
        <v>10</v>
      </c>
      <c r="I31" s="51">
        <f t="shared" ref="I31:I36" si="7">SUM(B31:H31)</f>
        <v>88</v>
      </c>
      <c r="J31" s="51"/>
    </row>
    <row r="32" spans="1:18">
      <c r="A32" t="s">
        <v>42</v>
      </c>
      <c r="B32">
        <v>22</v>
      </c>
      <c r="C32">
        <v>15</v>
      </c>
      <c r="D32">
        <v>15</v>
      </c>
      <c r="E32" s="51"/>
      <c r="F32" s="51"/>
      <c r="G32" s="51"/>
      <c r="H32" s="51"/>
      <c r="I32" s="51">
        <f t="shared" si="7"/>
        <v>52</v>
      </c>
      <c r="J32" s="51"/>
      <c r="K32" s="52"/>
    </row>
    <row r="33" spans="1:11">
      <c r="A33" t="s">
        <v>43</v>
      </c>
      <c r="C33">
        <v>15</v>
      </c>
      <c r="D33">
        <v>15</v>
      </c>
      <c r="E33" s="51">
        <v>23</v>
      </c>
      <c r="F33" s="51">
        <v>23</v>
      </c>
      <c r="G33" s="51">
        <v>26</v>
      </c>
      <c r="H33" s="51"/>
      <c r="I33" s="51">
        <f t="shared" si="7"/>
        <v>102</v>
      </c>
      <c r="J33" s="88"/>
    </row>
    <row r="34" spans="1:11">
      <c r="A34" t="s">
        <v>44</v>
      </c>
      <c r="B34">
        <v>22</v>
      </c>
      <c r="C34">
        <v>15</v>
      </c>
      <c r="D34">
        <v>15</v>
      </c>
      <c r="E34" s="51">
        <v>23</v>
      </c>
      <c r="F34" s="51">
        <v>23</v>
      </c>
      <c r="G34" s="51">
        <v>26</v>
      </c>
      <c r="H34" s="51"/>
      <c r="I34" s="51">
        <f t="shared" si="7"/>
        <v>124</v>
      </c>
      <c r="J34" s="51"/>
      <c r="K34">
        <f>2603*22+2747*15+2747*15+51916+44834+2420*26+18046</f>
        <v>317392</v>
      </c>
    </row>
    <row r="35" spans="1:11">
      <c r="A35" t="s">
        <v>45</v>
      </c>
      <c r="E35" s="51"/>
      <c r="F35" s="51">
        <v>23</v>
      </c>
      <c r="G35" s="51">
        <v>26</v>
      </c>
      <c r="H35" s="51">
        <v>10</v>
      </c>
      <c r="I35" s="51">
        <f t="shared" si="7"/>
        <v>59</v>
      </c>
      <c r="J35" s="51"/>
    </row>
    <row r="36" spans="1:11">
      <c r="A36" t="s">
        <v>46</v>
      </c>
      <c r="E36" s="51"/>
      <c r="F36" s="51"/>
      <c r="G36" s="51">
        <v>26</v>
      </c>
      <c r="H36" s="51"/>
      <c r="I36" s="51">
        <f t="shared" si="7"/>
        <v>26</v>
      </c>
      <c r="J36" s="88"/>
    </row>
    <row r="37" spans="1:11">
      <c r="A37" s="53" t="s">
        <v>47</v>
      </c>
      <c r="B37" s="53">
        <f>SUM(B30:B36)</f>
        <v>88</v>
      </c>
      <c r="C37" s="53">
        <f t="shared" ref="C37:I37" si="8">SUM(C30:C36)</f>
        <v>75</v>
      </c>
      <c r="D37" s="53">
        <f t="shared" si="8"/>
        <v>75</v>
      </c>
      <c r="E37" s="53">
        <f t="shared" si="8"/>
        <v>69</v>
      </c>
      <c r="F37" s="53">
        <f t="shared" si="8"/>
        <v>69</v>
      </c>
      <c r="G37" s="53">
        <f t="shared" si="8"/>
        <v>130</v>
      </c>
      <c r="H37" s="53">
        <f t="shared" si="8"/>
        <v>20</v>
      </c>
      <c r="I37" s="53">
        <f t="shared" si="8"/>
        <v>526</v>
      </c>
    </row>
    <row r="38" spans="1:11">
      <c r="B38">
        <f>B37/$I$37</f>
        <v>0.16730038022813687</v>
      </c>
      <c r="C38">
        <f t="shared" ref="C38:I38" si="9">C37/$I$37</f>
        <v>0.14258555133079848</v>
      </c>
      <c r="D38">
        <f>D37/$I$37</f>
        <v>0.14258555133079848</v>
      </c>
      <c r="E38">
        <f>E37/$I$37</f>
        <v>0.13117870722433461</v>
      </c>
      <c r="F38">
        <f t="shared" si="9"/>
        <v>0.13117870722433461</v>
      </c>
      <c r="G38">
        <f t="shared" si="9"/>
        <v>0.24714828897338403</v>
      </c>
      <c r="H38">
        <f t="shared" si="9"/>
        <v>3.8022813688212927E-2</v>
      </c>
      <c r="I38">
        <f t="shared" si="9"/>
        <v>1</v>
      </c>
    </row>
    <row r="39" spans="1:11">
      <c r="B39">
        <f t="shared" ref="B39:I39" si="10">B38*SUM($I$10:$I$13)</f>
        <v>10626.585551330798</v>
      </c>
      <c r="C39">
        <f t="shared" si="10"/>
        <v>9056.749049429658</v>
      </c>
      <c r="D39">
        <f t="shared" si="10"/>
        <v>9056.749049429658</v>
      </c>
      <c r="E39">
        <f>E38*SUM($I$10:$I$13)</f>
        <v>8332.2091254752868</v>
      </c>
      <c r="F39">
        <f t="shared" si="10"/>
        <v>8332.2091254752868</v>
      </c>
      <c r="G39">
        <f t="shared" si="10"/>
        <v>15698.365019011408</v>
      </c>
      <c r="H39">
        <f t="shared" si="10"/>
        <v>2415.1330798479089</v>
      </c>
      <c r="I39">
        <f t="shared" si="10"/>
        <v>63518</v>
      </c>
    </row>
    <row r="40" spans="1:11">
      <c r="I40" s="51"/>
    </row>
    <row r="41" spans="1:11" hidden="1">
      <c r="B41" s="75"/>
      <c r="C41" s="75"/>
      <c r="D41" s="75"/>
      <c r="E41" s="75"/>
      <c r="F41" s="75"/>
      <c r="G41" s="75"/>
      <c r="H41" s="75"/>
      <c r="I41" s="75"/>
    </row>
    <row r="42" spans="1:11" hidden="1">
      <c r="A42" t="s">
        <v>40</v>
      </c>
      <c r="B42" s="78">
        <f>B30/$I30*SUM(B$10:B$13)</f>
        <v>2656.6463878326999</v>
      </c>
      <c r="C42" s="78">
        <f t="shared" ref="C42:H48" si="11">C30/$I30*SUM(C$10:C$13)</f>
        <v>2125.3171102661595</v>
      </c>
      <c r="D42" s="78">
        <f t="shared" si="11"/>
        <v>1255.8692015209126</v>
      </c>
      <c r="E42" s="78">
        <f t="shared" si="11"/>
        <v>3777.2681368821291</v>
      </c>
      <c r="F42" s="78">
        <f t="shared" si="11"/>
        <v>0</v>
      </c>
      <c r="G42" s="78">
        <f>G30/$I30*SUM(G$10:G$13)</f>
        <v>0</v>
      </c>
      <c r="H42" s="78">
        <f>H30/$I30*SUM(H$10:H$13)</f>
        <v>0</v>
      </c>
      <c r="I42" s="78"/>
    </row>
    <row r="43" spans="1:11" hidden="1">
      <c r="A43" t="s">
        <v>41</v>
      </c>
      <c r="B43" s="78">
        <f t="shared" ref="B43:B48" si="12">B31/$I31*SUM(B$10:B$13)</f>
        <v>2264.1872623574145</v>
      </c>
      <c r="C43" s="78">
        <f t="shared" si="11"/>
        <v>1811.3498098859313</v>
      </c>
      <c r="D43" s="78">
        <f t="shared" si="11"/>
        <v>1070.3430694780502</v>
      </c>
      <c r="E43" s="78">
        <f t="shared" si="11"/>
        <v>0</v>
      </c>
      <c r="F43" s="78">
        <f t="shared" si="11"/>
        <v>0</v>
      </c>
      <c r="G43" s="78">
        <f t="shared" si="11"/>
        <v>2105.0080366401662</v>
      </c>
      <c r="H43" s="78">
        <f t="shared" si="11"/>
        <v>356.78102315935013</v>
      </c>
      <c r="I43" s="78"/>
    </row>
    <row r="44" spans="1:11" hidden="1">
      <c r="A44" t="s">
        <v>42</v>
      </c>
      <c r="B44" s="78">
        <f t="shared" si="12"/>
        <v>3831.7015209125475</v>
      </c>
      <c r="C44" s="78">
        <f t="shared" si="11"/>
        <v>3065.3612167300375</v>
      </c>
      <c r="D44" s="78">
        <f t="shared" si="11"/>
        <v>1811.3498098859313</v>
      </c>
      <c r="E44" s="78">
        <f t="shared" si="11"/>
        <v>0</v>
      </c>
      <c r="F44" s="78">
        <f t="shared" si="11"/>
        <v>0</v>
      </c>
      <c r="G44" s="78">
        <f t="shared" si="11"/>
        <v>0</v>
      </c>
      <c r="H44" s="78">
        <f t="shared" si="11"/>
        <v>0</v>
      </c>
      <c r="I44" s="78"/>
    </row>
    <row r="45" spans="1:11" hidden="1">
      <c r="A45" t="s">
        <v>43</v>
      </c>
      <c r="B45" s="78">
        <f t="shared" si="12"/>
        <v>0</v>
      </c>
      <c r="C45" s="78">
        <f t="shared" si="11"/>
        <v>1562.7331693133526</v>
      </c>
      <c r="D45" s="78">
        <f t="shared" si="11"/>
        <v>923.43323641243569</v>
      </c>
      <c r="E45" s="78">
        <f t="shared" si="11"/>
        <v>2777.403041825095</v>
      </c>
      <c r="F45" s="78">
        <f t="shared" si="11"/>
        <v>3376.4507567285473</v>
      </c>
      <c r="G45" s="78">
        <f t="shared" si="11"/>
        <v>1816.0853649444568</v>
      </c>
      <c r="H45" s="78">
        <f t="shared" si="11"/>
        <v>0</v>
      </c>
      <c r="I45" s="78"/>
    </row>
    <row r="46" spans="1:11" hidden="1">
      <c r="A46" t="s">
        <v>44</v>
      </c>
      <c r="B46" s="78">
        <f t="shared" si="12"/>
        <v>1606.8425732859071</v>
      </c>
      <c r="C46" s="78">
        <f t="shared" si="11"/>
        <v>1285.4740586287255</v>
      </c>
      <c r="D46" s="78">
        <f t="shared" si="11"/>
        <v>759.59830737151958</v>
      </c>
      <c r="E46" s="78">
        <f t="shared" si="11"/>
        <v>2284.637986017417</v>
      </c>
      <c r="F46" s="78">
        <f t="shared" si="11"/>
        <v>2777.403041825095</v>
      </c>
      <c r="G46" s="78">
        <f t="shared" si="11"/>
        <v>1493.8766711639887</v>
      </c>
      <c r="H46" s="78">
        <f t="shared" si="11"/>
        <v>0</v>
      </c>
      <c r="I46" s="78"/>
    </row>
    <row r="47" spans="1:11" hidden="1">
      <c r="A47" t="s">
        <v>45</v>
      </c>
      <c r="B47" s="78">
        <f t="shared" si="12"/>
        <v>0</v>
      </c>
      <c r="C47" s="78">
        <f t="shared" si="11"/>
        <v>0</v>
      </c>
      <c r="D47" s="78">
        <f t="shared" si="11"/>
        <v>0</v>
      </c>
      <c r="E47" s="78">
        <f t="shared" si="11"/>
        <v>0</v>
      </c>
      <c r="F47" s="78">
        <f t="shared" si="11"/>
        <v>5837.2538506154542</v>
      </c>
      <c r="G47" s="78">
        <f t="shared" si="11"/>
        <v>3139.6730038022811</v>
      </c>
      <c r="H47" s="78">
        <f t="shared" si="11"/>
        <v>532.14796674614934</v>
      </c>
      <c r="I47" s="78"/>
    </row>
    <row r="48" spans="1:11" hidden="1">
      <c r="A48" t="s">
        <v>46</v>
      </c>
      <c r="B48" s="78">
        <f t="shared" si="12"/>
        <v>0</v>
      </c>
      <c r="C48" s="78">
        <f t="shared" si="11"/>
        <v>0</v>
      </c>
      <c r="D48" s="78">
        <f t="shared" si="11"/>
        <v>0</v>
      </c>
      <c r="E48" s="78">
        <f t="shared" si="11"/>
        <v>0</v>
      </c>
      <c r="F48" s="78">
        <f t="shared" si="11"/>
        <v>0</v>
      </c>
      <c r="G48" s="78">
        <f>G36/$I36*SUM(G$10:G$13)</f>
        <v>7124.6425855513307</v>
      </c>
      <c r="H48" s="78">
        <f t="shared" si="11"/>
        <v>0</v>
      </c>
      <c r="I48" s="78"/>
    </row>
    <row r="49" spans="1:10" hidden="1">
      <c r="A49" s="53" t="s">
        <v>47</v>
      </c>
      <c r="B49" s="76">
        <f t="shared" ref="B49:H49" si="13">SUM(B42:B48)</f>
        <v>10359.377744388568</v>
      </c>
      <c r="C49" s="76">
        <f t="shared" si="13"/>
        <v>9850.2353648242079</v>
      </c>
      <c r="D49" s="76">
        <f t="shared" si="13"/>
        <v>5820.5936246688498</v>
      </c>
      <c r="E49" s="76">
        <f t="shared" si="13"/>
        <v>8839.3091647246401</v>
      </c>
      <c r="F49" s="76">
        <f t="shared" si="13"/>
        <v>11991.107649169096</v>
      </c>
      <c r="G49" s="76">
        <f t="shared" si="13"/>
        <v>15679.285662102226</v>
      </c>
      <c r="H49" s="76">
        <f t="shared" si="13"/>
        <v>888.92898990549952</v>
      </c>
      <c r="I49" s="76">
        <f>SUM(B49:H49)</f>
        <v>63428.838199783087</v>
      </c>
      <c r="J49" s="76">
        <f>I49/134</f>
        <v>473.34953880435143</v>
      </c>
    </row>
    <row r="50" spans="1:10" hidden="1">
      <c r="B50" s="76">
        <f>B49/22</f>
        <v>470.88080656311672</v>
      </c>
      <c r="C50" s="76">
        <f t="shared" ref="C50:H50" si="14">C49/22</f>
        <v>447.73797112837309</v>
      </c>
      <c r="D50" s="76">
        <f t="shared" si="14"/>
        <v>264.57243748494773</v>
      </c>
      <c r="E50" s="76">
        <f t="shared" si="14"/>
        <v>401.78678021475639</v>
      </c>
      <c r="F50" s="76">
        <f t="shared" si="14"/>
        <v>545.05034768950441</v>
      </c>
      <c r="G50" s="76">
        <f t="shared" si="14"/>
        <v>712.69480282282848</v>
      </c>
      <c r="H50" s="76">
        <f t="shared" si="14"/>
        <v>40.405863177522704</v>
      </c>
      <c r="I50" s="78"/>
    </row>
    <row r="51" spans="1:10">
      <c r="B51" s="76"/>
      <c r="C51" s="76"/>
      <c r="D51" s="76"/>
      <c r="E51" s="76"/>
      <c r="F51" s="76"/>
      <c r="G51" s="76"/>
      <c r="H51" s="76"/>
    </row>
    <row r="52" spans="1:10">
      <c r="B52" s="76"/>
      <c r="C52" s="76"/>
      <c r="D52" s="76"/>
      <c r="E52" s="76"/>
      <c r="F52" s="76"/>
      <c r="G52" s="76"/>
      <c r="H52" s="76"/>
      <c r="I52" s="51"/>
    </row>
    <row r="53" spans="1:10">
      <c r="B53" s="76"/>
      <c r="C53" s="76"/>
      <c r="D53" s="76"/>
      <c r="E53" s="76"/>
      <c r="F53" s="76"/>
      <c r="G53" s="76"/>
      <c r="H53" s="76"/>
    </row>
    <row r="54" spans="1:10">
      <c r="B54" s="76"/>
      <c r="C54" s="76"/>
      <c r="D54" s="76"/>
      <c r="E54" s="76"/>
      <c r="F54" s="76"/>
      <c r="G54" s="76"/>
      <c r="H54" s="76"/>
      <c r="I54" s="51"/>
    </row>
    <row r="55" spans="1:10">
      <c r="B55" s="76"/>
      <c r="C55" s="76"/>
      <c r="D55" s="76"/>
      <c r="E55" s="76"/>
      <c r="F55" s="76"/>
      <c r="G55" s="76"/>
      <c r="H55" s="76"/>
    </row>
    <row r="56" spans="1:10">
      <c r="B56" s="76"/>
      <c r="C56" s="76"/>
      <c r="D56" s="76"/>
      <c r="E56" s="76"/>
      <c r="F56" s="76"/>
      <c r="G56" s="76">
        <f>37453+59490</f>
        <v>96943</v>
      </c>
      <c r="H56" s="89">
        <f>10/23</f>
        <v>0.43478260869565216</v>
      </c>
      <c r="I56" s="51"/>
    </row>
    <row r="57" spans="1:10">
      <c r="A57" s="51"/>
      <c r="B57" s="77"/>
      <c r="C57" s="77"/>
      <c r="D57" s="77"/>
      <c r="E57" s="77"/>
      <c r="F57" s="77"/>
      <c r="G57" s="90">
        <f>G2/G56</f>
        <v>0.45278153141536781</v>
      </c>
      <c r="H57" s="77"/>
    </row>
    <row r="58" spans="1:10">
      <c r="A58" s="51"/>
      <c r="B58" s="76"/>
      <c r="C58" s="76"/>
      <c r="D58" s="76"/>
      <c r="E58" s="76"/>
      <c r="F58" s="76"/>
      <c r="G58" s="76"/>
      <c r="H58" s="76"/>
      <c r="I58" s="51"/>
    </row>
    <row r="60" spans="1:10">
      <c r="I60" s="51"/>
    </row>
  </sheetData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60"/>
  <sheetViews>
    <sheetView workbookViewId="0">
      <pane xSplit="1" ySplit="1" topLeftCell="B2" activePane="bottomRight" state="frozen"/>
      <selection pane="bottomRight" activeCell="B6" sqref="B6"/>
      <selection pane="bottomLeft" activeCell="A2" sqref="A2"/>
      <selection pane="topRight" activeCell="B1" sqref="B1"/>
    </sheetView>
  </sheetViews>
  <sheetFormatPr defaultRowHeight="12.75"/>
  <cols>
    <col min="1" max="1" width="44.5703125" bestFit="1" customWidth="1"/>
    <col min="2" max="14" width="22.28515625" customWidth="1"/>
  </cols>
  <sheetData>
    <row r="1" spans="1:16">
      <c r="A1" s="1"/>
      <c r="B1" s="3" t="s">
        <v>0</v>
      </c>
      <c r="C1" s="2" t="s">
        <v>1</v>
      </c>
      <c r="D1" s="3" t="s">
        <v>2</v>
      </c>
      <c r="E1" s="4" t="s">
        <v>3</v>
      </c>
      <c r="F1" s="5" t="s">
        <v>4</v>
      </c>
      <c r="G1" s="6" t="s">
        <v>5</v>
      </c>
      <c r="H1" s="5" t="s">
        <v>6</v>
      </c>
      <c r="I1" s="7" t="s">
        <v>7</v>
      </c>
      <c r="J1" s="1"/>
      <c r="K1" s="1"/>
      <c r="L1" s="1"/>
      <c r="M1" s="1"/>
    </row>
    <row r="2" spans="1:16">
      <c r="A2" s="1" t="s">
        <v>8</v>
      </c>
      <c r="B2" s="58">
        <f>26490+18000+15000</f>
        <v>59490</v>
      </c>
      <c r="C2" s="59">
        <v>2207</v>
      </c>
      <c r="D2" s="58">
        <v>0</v>
      </c>
      <c r="E2" s="60">
        <v>0</v>
      </c>
      <c r="F2" s="61">
        <v>0</v>
      </c>
      <c r="G2" s="62">
        <f>15453+12000+10000</f>
        <v>37453</v>
      </c>
      <c r="H2" s="61">
        <v>0</v>
      </c>
      <c r="I2" s="62">
        <f>SUM(B2:H2)</f>
        <v>99150</v>
      </c>
      <c r="J2" s="1"/>
      <c r="K2" s="1"/>
      <c r="L2" s="1"/>
      <c r="M2" s="1"/>
    </row>
    <row r="3" spans="1:16">
      <c r="A3" s="1" t="s">
        <v>9</v>
      </c>
      <c r="B3" s="58">
        <v>13000</v>
      </c>
      <c r="C3" s="59">
        <v>0</v>
      </c>
      <c r="D3" s="58">
        <v>0</v>
      </c>
      <c r="E3" s="60">
        <v>0</v>
      </c>
      <c r="F3" s="61">
        <v>0</v>
      </c>
      <c r="G3" s="62">
        <v>10000</v>
      </c>
      <c r="H3" s="61">
        <v>0</v>
      </c>
      <c r="I3" s="62">
        <f>SUM(B3:H3)</f>
        <v>23000</v>
      </c>
      <c r="J3" s="1"/>
      <c r="K3" s="1"/>
      <c r="L3" s="1"/>
      <c r="M3" s="1"/>
    </row>
    <row r="4" spans="1:16">
      <c r="A4" s="1" t="s">
        <v>10</v>
      </c>
      <c r="B4" s="58">
        <v>10000</v>
      </c>
      <c r="C4" s="59"/>
      <c r="D4" s="58"/>
      <c r="E4" s="60"/>
      <c r="F4" s="61"/>
      <c r="G4" s="62">
        <v>7500</v>
      </c>
      <c r="H4" s="61"/>
      <c r="I4" s="62">
        <f>SUM(B4:H4)</f>
        <v>17500</v>
      </c>
      <c r="J4" s="1"/>
      <c r="K4" s="1"/>
      <c r="L4" s="1"/>
      <c r="M4" s="1"/>
    </row>
    <row r="5" spans="1:16">
      <c r="A5" s="1" t="s">
        <v>11</v>
      </c>
      <c r="B5" s="58">
        <v>0</v>
      </c>
      <c r="C5" s="59">
        <v>0</v>
      </c>
      <c r="D5" s="58">
        <f>(2039*4)</f>
        <v>8156</v>
      </c>
      <c r="E5" s="60">
        <v>0</v>
      </c>
      <c r="F5" s="61">
        <v>0</v>
      </c>
      <c r="G5" s="62">
        <v>0</v>
      </c>
      <c r="H5" s="61">
        <v>0</v>
      </c>
      <c r="I5" s="62">
        <f>SUM(B5:H5)</f>
        <v>8156</v>
      </c>
      <c r="J5" s="1"/>
      <c r="K5" s="1"/>
      <c r="L5" s="1"/>
      <c r="M5" s="1"/>
    </row>
    <row r="6" spans="1:16">
      <c r="A6" s="1" t="s">
        <v>12</v>
      </c>
      <c r="B6" s="58">
        <v>39129.668999999994</v>
      </c>
      <c r="C6" s="59">
        <v>1605.5549999999998</v>
      </c>
      <c r="D6" s="58">
        <v>2293.6499999999996</v>
      </c>
      <c r="E6" s="60">
        <v>2293.6499999999996</v>
      </c>
      <c r="F6" s="61">
        <v>5504.7599999999993</v>
      </c>
      <c r="G6" s="62">
        <v>10321.424999999999</v>
      </c>
      <c r="H6" s="61">
        <v>4587.2999999999993</v>
      </c>
      <c r="I6" s="62">
        <f>SUM(B6:H6)</f>
        <v>65736.009000000005</v>
      </c>
      <c r="J6" s="1"/>
      <c r="K6" s="1"/>
      <c r="L6" s="1"/>
      <c r="M6" s="1"/>
    </row>
    <row r="7" spans="1:16" hidden="1">
      <c r="A7" s="1" t="s">
        <v>13</v>
      </c>
      <c r="B7" s="58">
        <v>0</v>
      </c>
      <c r="C7" s="59">
        <v>0</v>
      </c>
      <c r="D7" s="58">
        <v>0</v>
      </c>
      <c r="E7" s="60">
        <v>0</v>
      </c>
      <c r="F7" s="61">
        <v>0</v>
      </c>
      <c r="G7" s="62">
        <v>0</v>
      </c>
      <c r="H7" s="61">
        <v>0</v>
      </c>
      <c r="I7" s="62"/>
      <c r="J7" s="1"/>
      <c r="K7" s="1"/>
      <c r="L7" s="1"/>
      <c r="M7" s="1"/>
    </row>
    <row r="8" spans="1:16">
      <c r="A8" s="1" t="s">
        <v>14</v>
      </c>
      <c r="B8" s="58">
        <v>9000</v>
      </c>
      <c r="C8" s="59">
        <v>0</v>
      </c>
      <c r="D8" s="58">
        <v>0</v>
      </c>
      <c r="E8" s="60">
        <v>0</v>
      </c>
      <c r="F8" s="61">
        <v>0</v>
      </c>
      <c r="G8" s="62">
        <v>9000</v>
      </c>
      <c r="H8" s="61">
        <v>0</v>
      </c>
      <c r="I8" s="62">
        <f>SUM(B8:H8)</f>
        <v>18000</v>
      </c>
      <c r="J8" s="1"/>
      <c r="K8" s="1"/>
      <c r="L8" s="1"/>
      <c r="M8" s="1"/>
    </row>
    <row r="9" spans="1:16" s="57" customFormat="1">
      <c r="A9" s="18" t="s">
        <v>15</v>
      </c>
      <c r="B9" s="79">
        <f t="shared" ref="B9:H9" si="0">SUM(B2:B8)</f>
        <v>130619.66899999999</v>
      </c>
      <c r="C9" s="81">
        <f t="shared" si="0"/>
        <v>3812.5549999999998</v>
      </c>
      <c r="D9" s="79">
        <f t="shared" si="0"/>
        <v>10449.65</v>
      </c>
      <c r="E9" s="82">
        <f t="shared" si="0"/>
        <v>2293.6499999999996</v>
      </c>
      <c r="F9" s="83">
        <f t="shared" si="0"/>
        <v>5504.7599999999993</v>
      </c>
      <c r="G9" s="80">
        <f t="shared" si="0"/>
        <v>74274.425000000003</v>
      </c>
      <c r="H9" s="83">
        <f t="shared" si="0"/>
        <v>4587.2999999999993</v>
      </c>
      <c r="I9" s="80">
        <f>SUM(B9:H9)</f>
        <v>231542.00899999996</v>
      </c>
      <c r="J9" s="18"/>
      <c r="K9" s="18"/>
      <c r="L9" s="18"/>
      <c r="M9" s="18"/>
    </row>
    <row r="10" spans="1:16">
      <c r="A10" s="1" t="s">
        <v>16</v>
      </c>
      <c r="B10" s="58">
        <f>(75/526)*I10</f>
        <v>855.51330798479091</v>
      </c>
      <c r="C10" s="59">
        <f>(88/526)*I10</f>
        <v>1003.8022813688212</v>
      </c>
      <c r="D10" s="58">
        <f>(52/526)*I10</f>
        <v>593.15589353612165</v>
      </c>
      <c r="E10" s="60">
        <f>(102/526)*I10</f>
        <v>1163.4980988593156</v>
      </c>
      <c r="F10" s="61">
        <f>(124/526)*I10</f>
        <v>1414.4486692015209</v>
      </c>
      <c r="G10" s="62">
        <f>(59/526)*I10</f>
        <v>673.00380228136885</v>
      </c>
      <c r="H10" s="61">
        <f>(26/526)*I10</f>
        <v>296.57794676806083</v>
      </c>
      <c r="I10" s="62">
        <v>6000</v>
      </c>
      <c r="J10" s="1"/>
      <c r="K10" s="1"/>
      <c r="L10" s="1"/>
      <c r="M10" s="1"/>
    </row>
    <row r="11" spans="1:16">
      <c r="A11" s="1" t="s">
        <v>17</v>
      </c>
      <c r="B11" s="58">
        <f t="shared" ref="B11:B13" si="1">(75/526)*I11</f>
        <v>2887.3574144486693</v>
      </c>
      <c r="C11" s="59">
        <f>(88/526)*I11</f>
        <v>3387.8326996197716</v>
      </c>
      <c r="D11" s="58">
        <f>(52/526)*I11</f>
        <v>2001.9011406844106</v>
      </c>
      <c r="E11" s="60">
        <f>(102/526)*I11</f>
        <v>3926.80608365019</v>
      </c>
      <c r="F11" s="61">
        <f t="shared" ref="F11:F13" si="2">(124/526)*I11</f>
        <v>4773.764258555133</v>
      </c>
      <c r="G11" s="62">
        <f>(59/526)*I11</f>
        <v>2271.3878326996196</v>
      </c>
      <c r="H11" s="61">
        <f>(26/526)*I11</f>
        <v>1000.9505703422053</v>
      </c>
      <c r="I11" s="62">
        <f>3000*5*1.35</f>
        <v>20250</v>
      </c>
      <c r="J11" s="1"/>
      <c r="K11" s="1"/>
      <c r="L11" s="1"/>
      <c r="M11" s="1"/>
      <c r="P11" s="52"/>
    </row>
    <row r="12" spans="1:16">
      <c r="A12" s="54" t="s">
        <v>18</v>
      </c>
      <c r="B12" s="58">
        <f t="shared" si="1"/>
        <v>3781.7252851711028</v>
      </c>
      <c r="C12" s="59">
        <f>(88/526)*I12</f>
        <v>4437.2243346007599</v>
      </c>
      <c r="D12" s="58">
        <f>(52/526)*I12</f>
        <v>2621.9961977186313</v>
      </c>
      <c r="E12" s="60">
        <f>(102/526)*I12</f>
        <v>5143.1463878326995</v>
      </c>
      <c r="F12" s="61">
        <f t="shared" si="2"/>
        <v>6252.4524714828895</v>
      </c>
      <c r="G12" s="62">
        <f>(59/526)*I12</f>
        <v>2974.9572243346006</v>
      </c>
      <c r="H12" s="61">
        <f>(26/526)*I12</f>
        <v>1310.9980988593156</v>
      </c>
      <c r="I12" s="63">
        <f>25000*1.03*1.03</f>
        <v>26522.5</v>
      </c>
      <c r="J12" s="1"/>
      <c r="K12" s="1"/>
      <c r="L12" s="1"/>
      <c r="M12" s="1"/>
    </row>
    <row r="13" spans="1:16">
      <c r="A13" s="1" t="s">
        <v>19</v>
      </c>
      <c r="B13" s="58">
        <f t="shared" si="1"/>
        <v>712.92775665399233</v>
      </c>
      <c r="C13" s="59">
        <f>(88/526)*I13</f>
        <v>836.50190114068437</v>
      </c>
      <c r="D13" s="58">
        <f>(52/526)*I13</f>
        <v>494.29657794676808</v>
      </c>
      <c r="E13" s="60">
        <f>(102/526)*I13</f>
        <v>969.58174904942962</v>
      </c>
      <c r="F13" s="61">
        <f t="shared" si="2"/>
        <v>1178.7072243346006</v>
      </c>
      <c r="G13" s="62">
        <f>(59/526)*I13</f>
        <v>560.83650190114065</v>
      </c>
      <c r="H13" s="61">
        <f>(26/526)*I13</f>
        <v>247.14828897338404</v>
      </c>
      <c r="I13" s="62">
        <v>5000</v>
      </c>
      <c r="J13" s="1"/>
      <c r="K13" s="1"/>
      <c r="L13" s="1"/>
      <c r="M13" s="1"/>
    </row>
    <row r="14" spans="1:16" s="57" customFormat="1">
      <c r="A14" s="18" t="s">
        <v>15</v>
      </c>
      <c r="B14" s="79">
        <f t="shared" ref="B14:H14" si="3">SUM(B9:B13)</f>
        <v>138857.19276425854</v>
      </c>
      <c r="C14" s="79">
        <f t="shared" si="3"/>
        <v>13477.916216730036</v>
      </c>
      <c r="D14" s="79">
        <f t="shared" si="3"/>
        <v>16160.999809885931</v>
      </c>
      <c r="E14" s="79">
        <f t="shared" si="3"/>
        <v>13496.682319391635</v>
      </c>
      <c r="F14" s="79">
        <f t="shared" si="3"/>
        <v>19124.132623574144</v>
      </c>
      <c r="G14" s="79">
        <f t="shared" si="3"/>
        <v>80754.610361216735</v>
      </c>
      <c r="H14" s="79">
        <f t="shared" si="3"/>
        <v>7442.9749049429656</v>
      </c>
      <c r="I14" s="80">
        <f>SUM(B14:H14)</f>
        <v>289314.50899999996</v>
      </c>
      <c r="J14" s="18"/>
      <c r="K14" s="18"/>
      <c r="L14" s="18"/>
      <c r="M14" s="18"/>
      <c r="N14" s="77"/>
    </row>
    <row r="15" spans="1:16" s="57" customFormat="1">
      <c r="A15" s="18"/>
      <c r="B15" s="79"/>
      <c r="C15" s="79"/>
      <c r="D15" s="79"/>
      <c r="E15" s="79"/>
      <c r="F15" s="79"/>
      <c r="G15" s="79"/>
      <c r="H15" s="79"/>
      <c r="I15" s="80"/>
      <c r="J15" s="18"/>
      <c r="K15" s="18"/>
      <c r="L15" s="18"/>
      <c r="M15" s="18"/>
      <c r="N15" s="77"/>
    </row>
    <row r="16" spans="1:16" s="84" customFormat="1">
      <c r="A16" s="84" t="s">
        <v>20</v>
      </c>
      <c r="B16" s="85"/>
      <c r="C16" s="85"/>
      <c r="D16" s="85"/>
      <c r="E16" s="85"/>
      <c r="F16" s="85"/>
      <c r="G16" s="85"/>
      <c r="H16" s="85"/>
      <c r="I16" s="85"/>
      <c r="N16" s="86"/>
    </row>
    <row r="17" spans="1:18">
      <c r="A17" s="20" t="s">
        <v>21</v>
      </c>
      <c r="B17" s="64"/>
      <c r="C17" s="64"/>
      <c r="D17" s="64"/>
      <c r="E17" s="64"/>
      <c r="F17" s="64"/>
      <c r="G17" s="64"/>
      <c r="H17" s="64"/>
      <c r="I17" s="64"/>
      <c r="J17" s="22" t="s">
        <v>22</v>
      </c>
      <c r="K17" s="22" t="s">
        <v>23</v>
      </c>
      <c r="L17" s="22">
        <v>2019</v>
      </c>
      <c r="M17" s="22">
        <v>2018</v>
      </c>
      <c r="N17" s="57" t="s">
        <v>50</v>
      </c>
    </row>
    <row r="18" spans="1:18">
      <c r="A18" s="33" t="s">
        <v>25</v>
      </c>
      <c r="B18" s="65">
        <f>(B14*22/75)</f>
        <v>40731.443210849175</v>
      </c>
      <c r="C18" s="65">
        <f>C14*22/88</f>
        <v>3369.4790541825091</v>
      </c>
      <c r="D18" s="65">
        <f>D14*22/52</f>
        <v>6837.3460734132777</v>
      </c>
      <c r="E18" s="66" t="s">
        <v>26</v>
      </c>
      <c r="F18" s="65">
        <f>F14*22/124</f>
        <v>3392.9912719244448</v>
      </c>
      <c r="G18" s="66" t="s">
        <v>26</v>
      </c>
      <c r="H18" s="66" t="s">
        <v>26</v>
      </c>
      <c r="I18" s="66"/>
      <c r="J18" s="37">
        <f>SUM(B18:I18)/22</f>
        <v>2469.6027095622453</v>
      </c>
      <c r="K18" s="38">
        <f>J18/12</f>
        <v>205.80022579685377</v>
      </c>
      <c r="L18" s="38">
        <v>206.9652405650348</v>
      </c>
      <c r="M18" s="38">
        <v>186.92849443567184</v>
      </c>
      <c r="N18" s="49">
        <f>K18*6</f>
        <v>1234.8013547811227</v>
      </c>
      <c r="P18" s="49"/>
      <c r="Q18" s="49"/>
    </row>
    <row r="19" spans="1:18">
      <c r="A19" s="23" t="s">
        <v>27</v>
      </c>
      <c r="B19" s="67">
        <f>(B14*15/75)</f>
        <v>27771.438552851709</v>
      </c>
      <c r="C19" s="67">
        <f>C14*15/88</f>
        <v>2297.3720823971653</v>
      </c>
      <c r="D19" s="67">
        <f>D14*15/52</f>
        <v>4661.8268682363259</v>
      </c>
      <c r="E19" s="67">
        <f>E14*15/102</f>
        <v>1984.8062234399463</v>
      </c>
      <c r="F19" s="67">
        <f>F14*15/124</f>
        <v>2313.4031399484852</v>
      </c>
      <c r="G19" s="68" t="s">
        <v>26</v>
      </c>
      <c r="H19" s="68" t="s">
        <v>26</v>
      </c>
      <c r="I19" s="68"/>
      <c r="J19" s="26">
        <f>SUM(B19:I19)/15</f>
        <v>2601.9231244582425</v>
      </c>
      <c r="K19" s="27">
        <f>J19/12</f>
        <v>216.82692703818688</v>
      </c>
      <c r="L19" s="27">
        <v>217.69049467174719</v>
      </c>
      <c r="M19" s="27">
        <v>194.77781749823021</v>
      </c>
      <c r="N19" s="49">
        <f>K19*6</f>
        <v>1300.9615622291212</v>
      </c>
      <c r="P19" s="49"/>
      <c r="Q19" s="49"/>
    </row>
    <row r="20" spans="1:18">
      <c r="A20" s="28" t="s">
        <v>28</v>
      </c>
      <c r="B20" s="69">
        <f>B14*15/75</f>
        <v>27771.438552851709</v>
      </c>
      <c r="C20" s="69">
        <f>C14*15/88</f>
        <v>2297.3720823971653</v>
      </c>
      <c r="D20" s="69">
        <f>D14*15/52</f>
        <v>4661.8268682363259</v>
      </c>
      <c r="E20" s="69">
        <f>E14*15/102</f>
        <v>1984.8062234399463</v>
      </c>
      <c r="F20" s="69">
        <f>F14*15/124</f>
        <v>2313.4031399484852</v>
      </c>
      <c r="G20" s="70" t="s">
        <v>26</v>
      </c>
      <c r="H20" s="70" t="s">
        <v>26</v>
      </c>
      <c r="I20" s="70"/>
      <c r="J20" s="31">
        <f>SUM(B20:H20)/15</f>
        <v>2601.9231244582425</v>
      </c>
      <c r="K20" s="32">
        <f>J20/12</f>
        <v>216.82692703818688</v>
      </c>
      <c r="L20" s="32">
        <v>217.69049467174719</v>
      </c>
      <c r="M20" s="32">
        <v>194.77781749823021</v>
      </c>
      <c r="N20" s="49">
        <f>K20*6</f>
        <v>1300.9615622291212</v>
      </c>
      <c r="P20" s="49"/>
      <c r="Q20" s="49"/>
    </row>
    <row r="21" spans="1:18">
      <c r="A21" s="33" t="s">
        <v>29</v>
      </c>
      <c r="B21" s="65">
        <f>B14*23/75</f>
        <v>42582.872447705951</v>
      </c>
      <c r="C21" s="66" t="s">
        <v>26</v>
      </c>
      <c r="D21" s="66" t="s">
        <v>26</v>
      </c>
      <c r="E21" s="65">
        <f>E14*23/102</f>
        <v>3043.3695426079175</v>
      </c>
      <c r="F21" s="65">
        <f>F14*23/124</f>
        <v>3547.2181479210108</v>
      </c>
      <c r="G21" s="66" t="s">
        <v>26</v>
      </c>
      <c r="H21" s="66" t="s">
        <v>26</v>
      </c>
      <c r="I21" s="66"/>
      <c r="J21" s="37">
        <f>SUM(B21:H21)</f>
        <v>49173.460138234877</v>
      </c>
      <c r="K21" s="38">
        <f>J21/12</f>
        <v>4097.7883448529064</v>
      </c>
      <c r="L21" s="38">
        <v>4082.78564848017</v>
      </c>
      <c r="M21" s="38">
        <v>3539.3895110840035</v>
      </c>
      <c r="N21" s="49">
        <f>K21*6</f>
        <v>24586.730069117439</v>
      </c>
      <c r="P21" s="49"/>
      <c r="Q21" s="49"/>
      <c r="R21" s="49"/>
    </row>
    <row r="22" spans="1:18">
      <c r="A22" s="22"/>
      <c r="B22" s="64"/>
      <c r="C22" s="64"/>
      <c r="D22" s="64"/>
      <c r="E22" s="71"/>
      <c r="F22" s="71"/>
      <c r="G22" s="64"/>
      <c r="H22" s="64"/>
      <c r="I22" s="64"/>
      <c r="J22" s="41"/>
      <c r="K22" s="42"/>
      <c r="L22" s="42"/>
      <c r="M22" s="42"/>
      <c r="P22" s="49"/>
    </row>
    <row r="23" spans="1:18">
      <c r="A23" s="43" t="s">
        <v>30</v>
      </c>
      <c r="B23" s="72" t="s">
        <v>26</v>
      </c>
      <c r="C23" s="72" t="s">
        <v>26</v>
      </c>
      <c r="D23" s="72" t="s">
        <v>26</v>
      </c>
      <c r="E23" s="73">
        <f>E14*23/102</f>
        <v>3043.3695426079175</v>
      </c>
      <c r="F23" s="73">
        <f>F14*23/124</f>
        <v>3547.2181479210108</v>
      </c>
      <c r="G23" s="73">
        <f>G14*23/59</f>
        <v>31480.610818779405</v>
      </c>
      <c r="H23" s="72" t="s">
        <v>26</v>
      </c>
      <c r="I23" s="72"/>
      <c r="J23" s="47">
        <f>SUM(B23:H23)</f>
        <v>38071.198509308335</v>
      </c>
      <c r="K23" s="48">
        <f>J23/12</f>
        <v>3172.5998757756947</v>
      </c>
      <c r="L23" s="48">
        <v>3182.6938594029566</v>
      </c>
      <c r="M23" s="48">
        <v>2750.5218113261344</v>
      </c>
      <c r="N23" s="49">
        <f>K23*6</f>
        <v>19035.599254654167</v>
      </c>
      <c r="P23" s="49"/>
      <c r="Q23" s="49"/>
      <c r="R23" s="49"/>
    </row>
    <row r="24" spans="1:18">
      <c r="A24" s="22" t="s">
        <v>31</v>
      </c>
      <c r="B24" s="64" t="s">
        <v>26</v>
      </c>
      <c r="C24" s="71">
        <f>C14*26/88</f>
        <v>3982.1116094884201</v>
      </c>
      <c r="D24" s="64" t="s">
        <v>26</v>
      </c>
      <c r="E24" s="71">
        <f>E14*26/102</f>
        <v>3440.3307872959072</v>
      </c>
      <c r="F24" s="71">
        <f>F14*26/124</f>
        <v>4009.8987759107076</v>
      </c>
      <c r="G24" s="71">
        <f>G14*26/59</f>
        <v>35586.77744731585</v>
      </c>
      <c r="H24" s="71">
        <f>H14*26/26</f>
        <v>7442.9749049429656</v>
      </c>
      <c r="I24" s="64"/>
      <c r="J24" s="47">
        <f>SUM(B24:H24)/26</f>
        <v>2094.6959048059175</v>
      </c>
      <c r="K24" s="42">
        <f>J24/12</f>
        <v>174.5579920671598</v>
      </c>
      <c r="L24" s="42">
        <v>176.20029982892524</v>
      </c>
      <c r="M24" s="42">
        <v>170.34414859651045</v>
      </c>
      <c r="N24" s="49">
        <f>K24*6</f>
        <v>1047.3479524029588</v>
      </c>
      <c r="O24" s="49"/>
      <c r="P24" s="49"/>
      <c r="Q24" s="49"/>
    </row>
    <row r="25" spans="1:18">
      <c r="A25" s="43" t="s">
        <v>32</v>
      </c>
      <c r="B25" s="72" t="s">
        <v>26</v>
      </c>
      <c r="C25" s="73">
        <f>C14*10/88</f>
        <v>1531.5813882647767</v>
      </c>
      <c r="D25" s="72" t="s">
        <v>26</v>
      </c>
      <c r="E25" s="72" t="s">
        <v>26</v>
      </c>
      <c r="F25" s="72" t="s">
        <v>26</v>
      </c>
      <c r="G25" s="73">
        <f>G14*10/59</f>
        <v>13687.22209512148</v>
      </c>
      <c r="H25" s="72" t="s">
        <v>26</v>
      </c>
      <c r="I25" s="72"/>
      <c r="J25" s="47">
        <f>SUM(B25:H25)</f>
        <v>15218.803483386257</v>
      </c>
      <c r="K25" s="48">
        <f>J25/12</f>
        <v>1268.2336236155213</v>
      </c>
      <c r="L25" s="48">
        <v>1329.8625639816348</v>
      </c>
      <c r="M25" s="48">
        <v>1188.9984591679508</v>
      </c>
      <c r="N25" s="49">
        <f>K25*6</f>
        <v>7609.4017416931274</v>
      </c>
      <c r="P25" s="49"/>
      <c r="Q25" s="49"/>
    </row>
    <row r="26" spans="1:18" hidden="1">
      <c r="A26" s="43"/>
      <c r="B26" s="44">
        <v>75</v>
      </c>
      <c r="C26" s="45">
        <v>88</v>
      </c>
      <c r="D26" s="44">
        <v>52</v>
      </c>
      <c r="E26" s="44">
        <v>102</v>
      </c>
      <c r="F26" s="44">
        <v>124</v>
      </c>
      <c r="G26" s="45">
        <v>59</v>
      </c>
      <c r="H26" s="44">
        <v>26</v>
      </c>
      <c r="I26" s="46"/>
      <c r="J26" s="47">
        <f>SUM(B26:I26)</f>
        <v>526</v>
      </c>
      <c r="K26" s="48"/>
      <c r="L26" s="48"/>
      <c r="M26" s="48"/>
      <c r="N26" s="49"/>
      <c r="P26" s="49"/>
      <c r="Q26" s="49"/>
    </row>
    <row r="27" spans="1:18" hidden="1">
      <c r="A27" s="43"/>
      <c r="B27" s="56">
        <f t="shared" ref="B27:H27" si="4">B26/$J26</f>
        <v>0.14258555133079848</v>
      </c>
      <c r="C27" s="56">
        <f t="shared" si="4"/>
        <v>0.16730038022813687</v>
      </c>
      <c r="D27" s="56">
        <f t="shared" si="4"/>
        <v>9.8859315589353611E-2</v>
      </c>
      <c r="E27" s="56">
        <f t="shared" si="4"/>
        <v>0.19391634980988592</v>
      </c>
      <c r="F27" s="56">
        <f t="shared" si="4"/>
        <v>0.23574144486692014</v>
      </c>
      <c r="G27" s="56">
        <f t="shared" si="4"/>
        <v>0.11216730038022814</v>
      </c>
      <c r="H27" s="56">
        <f t="shared" si="4"/>
        <v>4.9429657794676805E-2</v>
      </c>
      <c r="I27" s="46"/>
      <c r="J27" s="47"/>
      <c r="K27" s="48"/>
      <c r="L27" s="48"/>
      <c r="M27" s="48"/>
      <c r="N27" s="49"/>
      <c r="P27" s="49"/>
      <c r="Q27" s="49"/>
    </row>
    <row r="28" spans="1:18" hidden="1">
      <c r="A28" s="43"/>
      <c r="B28" s="44"/>
      <c r="C28" s="45"/>
      <c r="D28" s="44"/>
      <c r="E28" s="44"/>
      <c r="F28" s="44"/>
      <c r="G28" s="45"/>
      <c r="H28" s="44"/>
      <c r="I28" s="46"/>
      <c r="J28" s="47"/>
      <c r="K28" s="48"/>
      <c r="L28" s="48"/>
      <c r="M28" s="48"/>
      <c r="N28" s="49"/>
      <c r="P28" s="49"/>
      <c r="Q28" s="49"/>
    </row>
    <row r="29" spans="1:18">
      <c r="B29" s="51" t="s">
        <v>33</v>
      </c>
      <c r="C29" s="51" t="s">
        <v>34</v>
      </c>
      <c r="D29" s="51" t="s">
        <v>35</v>
      </c>
      <c r="E29" s="51" t="s">
        <v>36</v>
      </c>
      <c r="F29" s="51" t="s">
        <v>37</v>
      </c>
      <c r="G29" s="74" t="s">
        <v>38</v>
      </c>
      <c r="H29" s="74" t="s">
        <v>39</v>
      </c>
      <c r="I29" s="50"/>
      <c r="J29" s="50"/>
    </row>
    <row r="30" spans="1:18">
      <c r="A30" t="s">
        <v>40</v>
      </c>
      <c r="B30">
        <v>22</v>
      </c>
      <c r="C30">
        <v>15</v>
      </c>
      <c r="D30">
        <v>15</v>
      </c>
      <c r="E30" s="51">
        <v>23</v>
      </c>
      <c r="F30" s="51"/>
      <c r="G30" s="51"/>
      <c r="H30" s="51"/>
      <c r="I30" s="51">
        <f>SUM(B30:H30)</f>
        <v>75</v>
      </c>
      <c r="J30" s="51"/>
    </row>
    <row r="31" spans="1:18">
      <c r="A31" t="s">
        <v>41</v>
      </c>
      <c r="B31">
        <v>22</v>
      </c>
      <c r="C31">
        <v>15</v>
      </c>
      <c r="D31">
        <v>15</v>
      </c>
      <c r="E31" s="51"/>
      <c r="F31" s="51"/>
      <c r="G31" s="51">
        <v>26</v>
      </c>
      <c r="H31" s="51">
        <v>10</v>
      </c>
      <c r="I31" s="51">
        <f t="shared" ref="I31:I36" si="5">SUM(B31:H31)</f>
        <v>88</v>
      </c>
      <c r="J31" s="51"/>
    </row>
    <row r="32" spans="1:18">
      <c r="A32" t="s">
        <v>42</v>
      </c>
      <c r="B32">
        <v>22</v>
      </c>
      <c r="C32">
        <v>15</v>
      </c>
      <c r="D32">
        <v>15</v>
      </c>
      <c r="E32" s="51"/>
      <c r="F32" s="51"/>
      <c r="G32" s="51"/>
      <c r="H32" s="51"/>
      <c r="I32" s="51">
        <f t="shared" si="5"/>
        <v>52</v>
      </c>
      <c r="J32" s="51"/>
      <c r="K32" s="52"/>
    </row>
    <row r="33" spans="1:10">
      <c r="A33" t="s">
        <v>43</v>
      </c>
      <c r="C33">
        <v>15</v>
      </c>
      <c r="D33">
        <v>15</v>
      </c>
      <c r="E33" s="51">
        <v>23</v>
      </c>
      <c r="F33" s="51">
        <v>23</v>
      </c>
      <c r="G33" s="51">
        <v>26</v>
      </c>
      <c r="H33" s="51"/>
      <c r="I33" s="51">
        <f t="shared" si="5"/>
        <v>102</v>
      </c>
      <c r="J33" s="88"/>
    </row>
    <row r="34" spans="1:10">
      <c r="A34" t="s">
        <v>44</v>
      </c>
      <c r="B34">
        <v>22</v>
      </c>
      <c r="C34">
        <v>15</v>
      </c>
      <c r="D34">
        <v>15</v>
      </c>
      <c r="E34" s="51">
        <v>23</v>
      </c>
      <c r="F34" s="51">
        <v>23</v>
      </c>
      <c r="G34" s="51">
        <v>26</v>
      </c>
      <c r="H34" s="51"/>
      <c r="I34" s="51">
        <f t="shared" si="5"/>
        <v>124</v>
      </c>
      <c r="J34" s="51"/>
    </row>
    <row r="35" spans="1:10">
      <c r="A35" t="s">
        <v>45</v>
      </c>
      <c r="E35" s="51"/>
      <c r="F35" s="51">
        <v>23</v>
      </c>
      <c r="G35" s="51">
        <v>26</v>
      </c>
      <c r="H35" s="51">
        <v>10</v>
      </c>
      <c r="I35" s="51">
        <f t="shared" si="5"/>
        <v>59</v>
      </c>
      <c r="J35" s="51"/>
    </row>
    <row r="36" spans="1:10">
      <c r="A36" t="s">
        <v>46</v>
      </c>
      <c r="E36" s="51"/>
      <c r="F36" s="51"/>
      <c r="G36" s="51">
        <v>26</v>
      </c>
      <c r="H36" s="51"/>
      <c r="I36" s="51">
        <f t="shared" si="5"/>
        <v>26</v>
      </c>
      <c r="J36" s="88"/>
    </row>
    <row r="37" spans="1:10">
      <c r="A37" s="53" t="s">
        <v>51</v>
      </c>
      <c r="B37" s="53">
        <f>SUM(B30:B36)</f>
        <v>88</v>
      </c>
      <c r="C37" s="53">
        <f t="shared" ref="C37:I37" si="6">SUM(C30:C36)</f>
        <v>75</v>
      </c>
      <c r="D37" s="53">
        <f t="shared" si="6"/>
        <v>75</v>
      </c>
      <c r="E37" s="53">
        <f t="shared" si="6"/>
        <v>69</v>
      </c>
      <c r="F37" s="53">
        <f t="shared" si="6"/>
        <v>69</v>
      </c>
      <c r="G37" s="53">
        <f t="shared" si="6"/>
        <v>130</v>
      </c>
      <c r="H37" s="53">
        <f t="shared" si="6"/>
        <v>20</v>
      </c>
      <c r="I37" s="53">
        <f t="shared" si="6"/>
        <v>526</v>
      </c>
    </row>
    <row r="38" spans="1:10">
      <c r="B38">
        <f>B37/$I$37</f>
        <v>0.16730038022813687</v>
      </c>
      <c r="C38">
        <f t="shared" ref="C38:I38" si="7">C37/$I$37</f>
        <v>0.14258555133079848</v>
      </c>
      <c r="D38">
        <f>D37/$I$37</f>
        <v>0.14258555133079848</v>
      </c>
      <c r="E38">
        <f>E37/$I$37</f>
        <v>0.13117870722433461</v>
      </c>
      <c r="F38">
        <f t="shared" si="7"/>
        <v>0.13117870722433461</v>
      </c>
      <c r="G38">
        <f t="shared" si="7"/>
        <v>0.24714828897338403</v>
      </c>
      <c r="H38">
        <f t="shared" si="7"/>
        <v>3.8022813688212927E-2</v>
      </c>
      <c r="I38">
        <f t="shared" si="7"/>
        <v>1</v>
      </c>
    </row>
    <row r="39" spans="1:10">
      <c r="B39">
        <f t="shared" ref="B39:I39" si="8">B38*SUM($I$10:$I$13)</f>
        <v>9665.361216730038</v>
      </c>
      <c r="C39">
        <f t="shared" si="8"/>
        <v>8237.5237642585544</v>
      </c>
      <c r="D39">
        <f t="shared" si="8"/>
        <v>8237.5237642585544</v>
      </c>
      <c r="E39">
        <f>E38*SUM($I$10:$I$13)</f>
        <v>7578.5218631178714</v>
      </c>
      <c r="F39">
        <f t="shared" si="8"/>
        <v>7578.5218631178714</v>
      </c>
      <c r="G39">
        <f t="shared" si="8"/>
        <v>14278.374524714829</v>
      </c>
      <c r="H39">
        <f t="shared" si="8"/>
        <v>2196.6730038022815</v>
      </c>
      <c r="I39">
        <f t="shared" si="8"/>
        <v>57772.5</v>
      </c>
    </row>
    <row r="40" spans="1:10">
      <c r="I40" s="51"/>
    </row>
    <row r="41" spans="1:10" hidden="1">
      <c r="B41" s="75"/>
      <c r="C41" s="75"/>
      <c r="D41" s="75"/>
      <c r="E41" s="75"/>
      <c r="F41" s="75"/>
      <c r="G41" s="75"/>
      <c r="H41" s="75"/>
      <c r="I41" s="75"/>
    </row>
    <row r="42" spans="1:10" hidden="1">
      <c r="A42" t="s">
        <v>40</v>
      </c>
      <c r="B42" s="78">
        <f>B30/$I30*SUM(B$10:B$13)</f>
        <v>2416.34030418251</v>
      </c>
      <c r="C42" s="78">
        <f t="shared" ref="C42:H48" si="9">C30/$I30*SUM(C$10:C$13)</f>
        <v>1933.0722433460073</v>
      </c>
      <c r="D42" s="78">
        <f t="shared" si="9"/>
        <v>1142.2699619771863</v>
      </c>
      <c r="E42" s="78">
        <f t="shared" si="9"/>
        <v>3435.5965779467679</v>
      </c>
      <c r="F42" s="78">
        <f t="shared" si="9"/>
        <v>0</v>
      </c>
      <c r="G42" s="78">
        <f>G30/$I30*SUM(G$10:G$13)</f>
        <v>0</v>
      </c>
      <c r="H42" s="78">
        <f>H30/$I30*SUM(H$10:H$13)</f>
        <v>0</v>
      </c>
      <c r="I42" s="78"/>
    </row>
    <row r="43" spans="1:10" hidden="1">
      <c r="A43" t="s">
        <v>41</v>
      </c>
      <c r="B43" s="78">
        <f t="shared" ref="B43:B48" si="10">B31/$I31*SUM(B$10:B$13)</f>
        <v>2059.380941064639</v>
      </c>
      <c r="C43" s="78">
        <f t="shared" si="9"/>
        <v>1647.5047528517107</v>
      </c>
      <c r="D43" s="78">
        <f t="shared" si="9"/>
        <v>973.525535776011</v>
      </c>
      <c r="E43" s="78">
        <f t="shared" si="9"/>
        <v>0</v>
      </c>
      <c r="F43" s="78">
        <f t="shared" si="9"/>
        <v>0</v>
      </c>
      <c r="G43" s="78">
        <f t="shared" si="9"/>
        <v>1914.6002203594885</v>
      </c>
      <c r="H43" s="78">
        <f t="shared" si="9"/>
        <v>324.50851192533702</v>
      </c>
      <c r="I43" s="78"/>
    </row>
    <row r="44" spans="1:10" hidden="1">
      <c r="A44" t="s">
        <v>42</v>
      </c>
      <c r="B44" s="78">
        <f t="shared" si="10"/>
        <v>3485.1062079555431</v>
      </c>
      <c r="C44" s="78">
        <f t="shared" si="9"/>
        <v>2788.0849663644331</v>
      </c>
      <c r="D44" s="78">
        <f t="shared" si="9"/>
        <v>1647.5047528517109</v>
      </c>
      <c r="E44" s="78">
        <f t="shared" si="9"/>
        <v>0</v>
      </c>
      <c r="F44" s="78">
        <f t="shared" si="9"/>
        <v>0</v>
      </c>
      <c r="G44" s="78">
        <f t="shared" si="9"/>
        <v>0</v>
      </c>
      <c r="H44" s="78">
        <f t="shared" si="9"/>
        <v>0</v>
      </c>
      <c r="I44" s="78"/>
    </row>
    <row r="45" spans="1:10" hidden="1">
      <c r="A45" t="s">
        <v>43</v>
      </c>
      <c r="B45" s="78">
        <f t="shared" si="10"/>
        <v>0</v>
      </c>
      <c r="C45" s="78">
        <f t="shared" si="9"/>
        <v>1421.376649519123</v>
      </c>
      <c r="D45" s="78">
        <f t="shared" si="9"/>
        <v>839.90438380675471</v>
      </c>
      <c r="E45" s="78">
        <f t="shared" si="9"/>
        <v>2526.1739543726239</v>
      </c>
      <c r="F45" s="78">
        <f t="shared" si="9"/>
        <v>3071.0350033549544</v>
      </c>
      <c r="G45" s="78">
        <f t="shared" si="9"/>
        <v>1651.8119548199506</v>
      </c>
      <c r="H45" s="78">
        <f t="shared" si="9"/>
        <v>0</v>
      </c>
      <c r="I45" s="78"/>
    </row>
    <row r="46" spans="1:10" hidden="1">
      <c r="A46" t="s">
        <v>44</v>
      </c>
      <c r="B46" s="78">
        <f t="shared" si="10"/>
        <v>1461.4961517232923</v>
      </c>
      <c r="C46" s="78">
        <f t="shared" si="9"/>
        <v>1169.1969213786335</v>
      </c>
      <c r="D46" s="78">
        <f t="shared" si="9"/>
        <v>690.88908990555626</v>
      </c>
      <c r="E46" s="78">
        <f t="shared" si="9"/>
        <v>2077.981801177481</v>
      </c>
      <c r="F46" s="78">
        <f t="shared" si="9"/>
        <v>2526.1739543726239</v>
      </c>
      <c r="G46" s="78">
        <f t="shared" si="9"/>
        <v>1358.7485434809273</v>
      </c>
      <c r="H46" s="78">
        <f t="shared" si="9"/>
        <v>0</v>
      </c>
      <c r="I46" s="78"/>
    </row>
    <row r="47" spans="1:10" hidden="1">
      <c r="A47" t="s">
        <v>45</v>
      </c>
      <c r="B47" s="78">
        <f t="shared" si="10"/>
        <v>0</v>
      </c>
      <c r="C47" s="78">
        <f t="shared" si="9"/>
        <v>0</v>
      </c>
      <c r="D47" s="78">
        <f t="shared" si="9"/>
        <v>0</v>
      </c>
      <c r="E47" s="78">
        <f t="shared" si="9"/>
        <v>0</v>
      </c>
      <c r="F47" s="78">
        <f t="shared" si="9"/>
        <v>5309.2469549526331</v>
      </c>
      <c r="G47" s="78">
        <f t="shared" si="9"/>
        <v>2855.6749049429654</v>
      </c>
      <c r="H47" s="78">
        <f t="shared" si="9"/>
        <v>484.01269575304502</v>
      </c>
      <c r="I47" s="78"/>
    </row>
    <row r="48" spans="1:10" hidden="1">
      <c r="A48" t="s">
        <v>46</v>
      </c>
      <c r="B48" s="78">
        <f t="shared" si="10"/>
        <v>0</v>
      </c>
      <c r="C48" s="78">
        <f t="shared" si="9"/>
        <v>0</v>
      </c>
      <c r="D48" s="78">
        <f t="shared" si="9"/>
        <v>0</v>
      </c>
      <c r="E48" s="78">
        <f t="shared" si="9"/>
        <v>0</v>
      </c>
      <c r="F48" s="78">
        <f t="shared" si="9"/>
        <v>0</v>
      </c>
      <c r="G48" s="78">
        <f>G36/$I36*SUM(G$10:G$13)</f>
        <v>6480.1853612167297</v>
      </c>
      <c r="H48" s="78">
        <f t="shared" si="9"/>
        <v>0</v>
      </c>
      <c r="I48" s="78"/>
    </row>
    <row r="49" spans="1:10" hidden="1">
      <c r="A49" s="53" t="s">
        <v>47</v>
      </c>
      <c r="B49" s="76">
        <f t="shared" ref="B49:H49" si="11">SUM(B42:B48)</f>
        <v>9422.3236049259831</v>
      </c>
      <c r="C49" s="76">
        <f t="shared" si="11"/>
        <v>8959.2355334599088</v>
      </c>
      <c r="D49" s="76">
        <f t="shared" si="11"/>
        <v>5294.0937243172184</v>
      </c>
      <c r="E49" s="76">
        <f t="shared" si="11"/>
        <v>8039.7523334968719</v>
      </c>
      <c r="F49" s="76">
        <f t="shared" si="11"/>
        <v>10906.455912680212</v>
      </c>
      <c r="G49" s="76">
        <f t="shared" si="11"/>
        <v>14261.020984820061</v>
      </c>
      <c r="H49" s="76">
        <f t="shared" si="11"/>
        <v>808.5212076783821</v>
      </c>
      <c r="I49" s="76">
        <f>SUM(B49:H49)</f>
        <v>57691.403301378639</v>
      </c>
      <c r="J49" s="76">
        <f>I49/134</f>
        <v>430.53286045804953</v>
      </c>
    </row>
    <row r="50" spans="1:10" hidden="1">
      <c r="B50" s="76">
        <f>B49/22</f>
        <v>428.28743658754468</v>
      </c>
      <c r="C50" s="76">
        <f t="shared" ref="C50:H50" si="12">C49/22</f>
        <v>407.23797879363224</v>
      </c>
      <c r="D50" s="76">
        <f t="shared" si="12"/>
        <v>240.64062383260082</v>
      </c>
      <c r="E50" s="76">
        <f t="shared" si="12"/>
        <v>365.44328788622147</v>
      </c>
      <c r="F50" s="76">
        <f t="shared" si="12"/>
        <v>495.74799603091873</v>
      </c>
      <c r="G50" s="76">
        <f t="shared" si="12"/>
        <v>648.22822658273003</v>
      </c>
      <c r="H50" s="76">
        <f t="shared" si="12"/>
        <v>36.750963985381006</v>
      </c>
      <c r="I50" s="78"/>
    </row>
    <row r="51" spans="1:10">
      <c r="B51" s="76"/>
      <c r="C51" s="76"/>
      <c r="D51" s="76"/>
      <c r="E51" s="76"/>
      <c r="F51" s="76"/>
      <c r="G51" s="76"/>
      <c r="H51" s="76"/>
    </row>
    <row r="52" spans="1:10">
      <c r="B52" s="76"/>
      <c r="C52" s="76"/>
      <c r="D52" s="76"/>
      <c r="E52" s="76"/>
      <c r="F52" s="76"/>
      <c r="G52" s="76"/>
      <c r="H52" s="76"/>
      <c r="I52" s="51"/>
    </row>
    <row r="53" spans="1:10">
      <c r="B53" s="76"/>
      <c r="C53" s="76"/>
      <c r="D53" s="76"/>
      <c r="E53" s="76"/>
      <c r="F53" s="76"/>
      <c r="G53" s="76"/>
      <c r="H53" s="76"/>
    </row>
    <row r="54" spans="1:10">
      <c r="B54" s="76"/>
      <c r="C54" s="76"/>
      <c r="D54" s="76"/>
      <c r="E54" s="76"/>
      <c r="F54" s="76"/>
      <c r="G54" s="76"/>
      <c r="H54" s="76"/>
      <c r="I54" s="51"/>
    </row>
    <row r="55" spans="1:10">
      <c r="B55" s="76"/>
      <c r="C55" s="76"/>
      <c r="D55" s="76"/>
      <c r="E55" s="76"/>
      <c r="F55" s="76"/>
      <c r="G55" s="76"/>
      <c r="H55" s="76"/>
    </row>
    <row r="56" spans="1:10">
      <c r="B56" s="76"/>
      <c r="C56" s="76"/>
      <c r="D56" s="76"/>
      <c r="E56" s="76"/>
      <c r="F56" s="76"/>
      <c r="G56" s="76"/>
      <c r="H56" s="76"/>
      <c r="I56" s="51"/>
    </row>
    <row r="57" spans="1:10">
      <c r="A57" s="51"/>
      <c r="B57" s="77"/>
      <c r="C57" s="77"/>
      <c r="D57" s="77"/>
      <c r="E57" s="77"/>
      <c r="F57" s="77"/>
      <c r="G57" s="77"/>
      <c r="H57" s="77"/>
    </row>
    <row r="58" spans="1:10">
      <c r="A58" s="51"/>
      <c r="B58" s="76"/>
      <c r="C58" s="76"/>
      <c r="D58" s="76"/>
      <c r="E58" s="76"/>
      <c r="F58" s="76"/>
      <c r="G58" s="76"/>
      <c r="H58" s="76"/>
      <c r="I58" s="51"/>
    </row>
    <row r="60" spans="1:10">
      <c r="I60" s="51"/>
    </row>
  </sheetData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0"/>
  <sheetViews>
    <sheetView workbookViewId="0">
      <pane xSplit="1" ySplit="1" topLeftCell="E9" activePane="bottomRight" state="frozen"/>
      <selection pane="bottomRight" activeCell="A38" sqref="A38:XFD50"/>
      <selection pane="bottomLeft" activeCell="A2" sqref="A2"/>
      <selection pane="topRight" activeCell="B1" sqref="B1"/>
    </sheetView>
  </sheetViews>
  <sheetFormatPr defaultRowHeight="12.75"/>
  <cols>
    <col min="1" max="1" width="44.5703125" bestFit="1" customWidth="1"/>
    <col min="2" max="14" width="22.28515625" customWidth="1"/>
  </cols>
  <sheetData>
    <row r="1" spans="1:16">
      <c r="A1" s="1"/>
      <c r="B1" s="3" t="s">
        <v>0</v>
      </c>
      <c r="C1" s="2" t="s">
        <v>1</v>
      </c>
      <c r="D1" s="3" t="s">
        <v>2</v>
      </c>
      <c r="E1" s="4" t="s">
        <v>3</v>
      </c>
      <c r="F1" s="5" t="s">
        <v>4</v>
      </c>
      <c r="G1" s="6" t="s">
        <v>5</v>
      </c>
      <c r="H1" s="5" t="s">
        <v>6</v>
      </c>
      <c r="I1" s="7" t="s">
        <v>7</v>
      </c>
      <c r="J1" s="1"/>
      <c r="K1" s="1"/>
      <c r="L1" s="1"/>
      <c r="M1" s="1"/>
    </row>
    <row r="2" spans="1:16">
      <c r="A2" s="1" t="s">
        <v>8</v>
      </c>
      <c r="B2" s="58">
        <f>26490+18000+15000</f>
        <v>59490</v>
      </c>
      <c r="C2" s="59">
        <v>2207</v>
      </c>
      <c r="D2" s="58">
        <v>0</v>
      </c>
      <c r="E2" s="60">
        <v>0</v>
      </c>
      <c r="F2" s="61">
        <v>0</v>
      </c>
      <c r="G2" s="62">
        <f>15453+12000+10000</f>
        <v>37453</v>
      </c>
      <c r="H2" s="61">
        <v>0</v>
      </c>
      <c r="I2" s="62">
        <f>SUM(B2:H2)</f>
        <v>99150</v>
      </c>
      <c r="J2" s="1"/>
      <c r="K2" s="1"/>
      <c r="L2" s="1"/>
      <c r="M2" s="1"/>
    </row>
    <row r="3" spans="1:16">
      <c r="A3" s="1" t="s">
        <v>9</v>
      </c>
      <c r="B3" s="58">
        <v>13000</v>
      </c>
      <c r="C3" s="59">
        <v>0</v>
      </c>
      <c r="D3" s="58">
        <v>0</v>
      </c>
      <c r="E3" s="60">
        <v>0</v>
      </c>
      <c r="F3" s="61">
        <v>0</v>
      </c>
      <c r="G3" s="62">
        <v>10000</v>
      </c>
      <c r="H3" s="61">
        <v>0</v>
      </c>
      <c r="I3" s="62">
        <f>SUM(B3:H3)</f>
        <v>23000</v>
      </c>
      <c r="J3" s="1"/>
      <c r="K3" s="1"/>
      <c r="L3" s="1"/>
      <c r="M3" s="1"/>
    </row>
    <row r="4" spans="1:16">
      <c r="A4" s="1" t="s">
        <v>10</v>
      </c>
      <c r="B4" s="58">
        <v>15500</v>
      </c>
      <c r="C4" s="59"/>
      <c r="D4" s="58"/>
      <c r="E4" s="60"/>
      <c r="F4" s="61"/>
      <c r="G4" s="62">
        <v>10000</v>
      </c>
      <c r="H4" s="61"/>
      <c r="I4" s="62">
        <f>SUM(B4:H4)</f>
        <v>25500</v>
      </c>
      <c r="J4" s="1"/>
      <c r="K4" s="1"/>
      <c r="L4" s="1"/>
      <c r="M4" s="1"/>
    </row>
    <row r="5" spans="1:16">
      <c r="A5" s="1" t="s">
        <v>11</v>
      </c>
      <c r="B5" s="58">
        <v>0</v>
      </c>
      <c r="C5" s="59">
        <v>0</v>
      </c>
      <c r="D5" s="58">
        <f>(2039*4)</f>
        <v>8156</v>
      </c>
      <c r="E5" s="60">
        <v>0</v>
      </c>
      <c r="F5" s="61">
        <v>0</v>
      </c>
      <c r="G5" s="62">
        <v>0</v>
      </c>
      <c r="H5" s="61">
        <v>0</v>
      </c>
      <c r="I5" s="62">
        <f>SUM(B5:H5)</f>
        <v>8156</v>
      </c>
      <c r="J5" s="1"/>
      <c r="K5" s="1"/>
      <c r="L5" s="1"/>
      <c r="M5" s="1"/>
    </row>
    <row r="6" spans="1:16">
      <c r="A6" s="1" t="s">
        <v>12</v>
      </c>
      <c r="B6" s="58">
        <v>37200</v>
      </c>
      <c r="C6" s="59">
        <v>5233</v>
      </c>
      <c r="D6" s="58">
        <v>1526</v>
      </c>
      <c r="E6" s="60">
        <v>2181</v>
      </c>
      <c r="F6" s="61">
        <v>2181</v>
      </c>
      <c r="G6" s="62">
        <v>9812</v>
      </c>
      <c r="H6" s="61">
        <v>4361</v>
      </c>
      <c r="I6" s="62">
        <f>SUM(B6:H6)</f>
        <v>62494</v>
      </c>
      <c r="J6" s="1"/>
      <c r="K6" s="1"/>
      <c r="L6" s="1"/>
      <c r="M6" s="1"/>
    </row>
    <row r="7" spans="1:16" hidden="1">
      <c r="A7" s="1" t="s">
        <v>13</v>
      </c>
      <c r="B7" s="58">
        <v>0</v>
      </c>
      <c r="C7" s="59">
        <v>0</v>
      </c>
      <c r="D7" s="58">
        <v>0</v>
      </c>
      <c r="E7" s="60">
        <v>0</v>
      </c>
      <c r="F7" s="61">
        <v>0</v>
      </c>
      <c r="G7" s="62">
        <v>0</v>
      </c>
      <c r="H7" s="61">
        <v>0</v>
      </c>
      <c r="I7" s="62"/>
      <c r="J7" s="1"/>
      <c r="K7" s="1"/>
      <c r="L7" s="1"/>
      <c r="M7" s="1"/>
    </row>
    <row r="8" spans="1:16">
      <c r="A8" s="1" t="s">
        <v>14</v>
      </c>
      <c r="B8" s="58">
        <v>9000</v>
      </c>
      <c r="C8" s="59">
        <v>0</v>
      </c>
      <c r="D8" s="58">
        <v>0</v>
      </c>
      <c r="E8" s="60">
        <v>0</v>
      </c>
      <c r="F8" s="61">
        <v>0</v>
      </c>
      <c r="G8" s="62">
        <v>9000</v>
      </c>
      <c r="H8" s="61">
        <v>0</v>
      </c>
      <c r="I8" s="62">
        <f>SUM(B8:H8)</f>
        <v>18000</v>
      </c>
      <c r="J8" s="1"/>
      <c r="K8" s="1"/>
      <c r="L8" s="1"/>
      <c r="M8" s="1"/>
    </row>
    <row r="9" spans="1:16" s="57" customFormat="1">
      <c r="A9" s="18" t="s">
        <v>15</v>
      </c>
      <c r="B9" s="79">
        <f t="shared" ref="B9:H9" si="0">SUM(B2:B8)</f>
        <v>134190</v>
      </c>
      <c r="C9" s="81">
        <f t="shared" si="0"/>
        <v>7440</v>
      </c>
      <c r="D9" s="79">
        <f t="shared" si="0"/>
        <v>9682</v>
      </c>
      <c r="E9" s="82">
        <f t="shared" si="0"/>
        <v>2181</v>
      </c>
      <c r="F9" s="83">
        <f t="shared" si="0"/>
        <v>2181</v>
      </c>
      <c r="G9" s="80">
        <f t="shared" si="0"/>
        <v>76265</v>
      </c>
      <c r="H9" s="83">
        <f t="shared" si="0"/>
        <v>4361</v>
      </c>
      <c r="I9" s="80">
        <f>SUM(B9:H9)</f>
        <v>236300</v>
      </c>
      <c r="J9" s="18"/>
      <c r="K9" s="18"/>
      <c r="L9" s="18"/>
      <c r="M9" s="18"/>
    </row>
    <row r="10" spans="1:16">
      <c r="A10" s="1" t="s">
        <v>16</v>
      </c>
      <c r="B10" s="58">
        <f>(75/526)*I10</f>
        <v>855.51330798479091</v>
      </c>
      <c r="C10" s="59">
        <f>(88/526)*I10</f>
        <v>1003.8022813688212</v>
      </c>
      <c r="D10" s="58">
        <f>(52/526)*I10</f>
        <v>593.15589353612165</v>
      </c>
      <c r="E10" s="60">
        <f>(102/526)*I10</f>
        <v>1163.4980988593156</v>
      </c>
      <c r="F10" s="61">
        <f>(124/526)*I10</f>
        <v>1414.4486692015209</v>
      </c>
      <c r="G10" s="62">
        <f>(59/526)*I10</f>
        <v>673.00380228136885</v>
      </c>
      <c r="H10" s="61">
        <f>(26/526)*I10</f>
        <v>296.57794676806083</v>
      </c>
      <c r="I10" s="62">
        <v>6000</v>
      </c>
      <c r="J10" s="1"/>
      <c r="K10" s="1"/>
      <c r="L10" s="1"/>
      <c r="M10" s="1"/>
    </row>
    <row r="11" spans="1:16">
      <c r="A11" s="1" t="s">
        <v>17</v>
      </c>
      <c r="B11" s="58">
        <f t="shared" ref="B11:B13" si="1">(75/526)*I11</f>
        <v>3115.4942965779469</v>
      </c>
      <c r="C11" s="59">
        <f>(88/526)*I11</f>
        <v>3655.5133079847906</v>
      </c>
      <c r="D11" s="58">
        <f>(52/526)*I11</f>
        <v>2160.0760456273765</v>
      </c>
      <c r="E11" s="60">
        <f>(102/526)*I11</f>
        <v>4237.0722433460078</v>
      </c>
      <c r="F11" s="61">
        <f t="shared" ref="F11:F13" si="2">(124/526)*I11</f>
        <v>5150.9505703422055</v>
      </c>
      <c r="G11" s="62">
        <f>(59/526)*I11</f>
        <v>2450.8555133079849</v>
      </c>
      <c r="H11" s="61">
        <f>(26/526)*I11</f>
        <v>1080.0380228136883</v>
      </c>
      <c r="I11" s="62">
        <f>47600-I12</f>
        <v>21850</v>
      </c>
      <c r="J11" s="1"/>
      <c r="K11" s="1"/>
      <c r="L11" s="1"/>
      <c r="M11" s="1"/>
      <c r="P11" s="52"/>
    </row>
    <row r="12" spans="1:16">
      <c r="A12" s="54" t="s">
        <v>18</v>
      </c>
      <c r="B12" s="58">
        <f t="shared" si="1"/>
        <v>3671.5779467680609</v>
      </c>
      <c r="C12" s="59">
        <f>(88/526)*I12</f>
        <v>4307.9847908745242</v>
      </c>
      <c r="D12" s="58">
        <f>(52/526)*I12</f>
        <v>2545.6273764258553</v>
      </c>
      <c r="E12" s="60">
        <f>(102/526)*I12</f>
        <v>4993.3460076045621</v>
      </c>
      <c r="F12" s="61">
        <f t="shared" si="2"/>
        <v>6070.3422053231934</v>
      </c>
      <c r="G12" s="62">
        <f>(59/526)*I12</f>
        <v>2888.3079847908743</v>
      </c>
      <c r="H12" s="61">
        <f>(26/526)*I12</f>
        <v>1272.8136882129277</v>
      </c>
      <c r="I12" s="63">
        <f>25000*1.03</f>
        <v>25750</v>
      </c>
      <c r="J12" s="1"/>
      <c r="K12" s="1"/>
      <c r="L12" s="1"/>
      <c r="M12" s="1"/>
    </row>
    <row r="13" spans="1:16">
      <c r="A13" s="1" t="s">
        <v>19</v>
      </c>
      <c r="B13" s="58">
        <f t="shared" si="1"/>
        <v>712.92775665399233</v>
      </c>
      <c r="C13" s="59">
        <f>(88/526)*I13</f>
        <v>836.50190114068437</v>
      </c>
      <c r="D13" s="58">
        <f>(52/526)*I13</f>
        <v>494.29657794676808</v>
      </c>
      <c r="E13" s="60">
        <f>(102/526)*I13</f>
        <v>969.58174904942962</v>
      </c>
      <c r="F13" s="61">
        <f t="shared" si="2"/>
        <v>1178.7072243346006</v>
      </c>
      <c r="G13" s="62">
        <f>(59/526)*I13</f>
        <v>560.83650190114065</v>
      </c>
      <c r="H13" s="61">
        <f>(26/526)*I13</f>
        <v>247.14828897338404</v>
      </c>
      <c r="I13" s="62">
        <v>5000</v>
      </c>
      <c r="J13" s="1"/>
      <c r="K13" s="1"/>
      <c r="L13" s="1"/>
      <c r="M13" s="1"/>
    </row>
    <row r="14" spans="1:16" s="57" customFormat="1">
      <c r="A14" s="18" t="s">
        <v>15</v>
      </c>
      <c r="B14" s="79">
        <f t="shared" ref="B14:H14" si="3">SUM(B9:B13)</f>
        <v>142545.51330798477</v>
      </c>
      <c r="C14" s="79">
        <f t="shared" si="3"/>
        <v>17243.802281368822</v>
      </c>
      <c r="D14" s="79">
        <f t="shared" si="3"/>
        <v>15475.155893536121</v>
      </c>
      <c r="E14" s="79">
        <f t="shared" si="3"/>
        <v>13544.498098859316</v>
      </c>
      <c r="F14" s="79">
        <f t="shared" si="3"/>
        <v>15995.448669201522</v>
      </c>
      <c r="G14" s="79">
        <f t="shared" si="3"/>
        <v>82838.003802281368</v>
      </c>
      <c r="H14" s="79">
        <f t="shared" si="3"/>
        <v>7257.5779467680604</v>
      </c>
      <c r="I14" s="80">
        <f>SUM(B14:H14)</f>
        <v>294899.99999999994</v>
      </c>
      <c r="J14" s="18"/>
      <c r="K14" s="18"/>
      <c r="L14" s="18"/>
      <c r="M14" s="18"/>
      <c r="N14" s="77"/>
    </row>
    <row r="15" spans="1:16" s="57" customFormat="1">
      <c r="A15" s="18"/>
      <c r="B15" s="79"/>
      <c r="C15" s="79"/>
      <c r="D15" s="79"/>
      <c r="E15" s="79"/>
      <c r="F15" s="79"/>
      <c r="G15" s="79"/>
      <c r="H15" s="79"/>
      <c r="I15" s="80"/>
      <c r="J15" s="18"/>
      <c r="K15" s="18"/>
      <c r="L15" s="18"/>
      <c r="M15" s="18"/>
      <c r="N15" s="77"/>
    </row>
    <row r="16" spans="1:16" s="84" customFormat="1">
      <c r="A16" s="84" t="s">
        <v>20</v>
      </c>
      <c r="B16" s="85"/>
      <c r="C16" s="85"/>
      <c r="D16" s="85"/>
      <c r="E16" s="85"/>
      <c r="F16" s="85"/>
      <c r="G16" s="85"/>
      <c r="H16" s="85"/>
      <c r="I16" s="85"/>
      <c r="N16" s="86"/>
    </row>
    <row r="17" spans="1:18">
      <c r="A17" s="20" t="s">
        <v>21</v>
      </c>
      <c r="B17" s="64"/>
      <c r="C17" s="64"/>
      <c r="D17" s="64"/>
      <c r="E17" s="64"/>
      <c r="F17" s="64"/>
      <c r="G17" s="64"/>
      <c r="H17" s="64"/>
      <c r="I17" s="64"/>
      <c r="J17" s="22" t="s">
        <v>22</v>
      </c>
      <c r="K17" s="22" t="s">
        <v>23</v>
      </c>
      <c r="L17" s="22">
        <v>2019</v>
      </c>
      <c r="M17" s="22">
        <v>2018</v>
      </c>
      <c r="N17" s="57" t="s">
        <v>50</v>
      </c>
    </row>
    <row r="18" spans="1:18">
      <c r="A18" s="33" t="s">
        <v>25</v>
      </c>
      <c r="B18" s="65">
        <f>(B14*22/75)</f>
        <v>41813.350570342198</v>
      </c>
      <c r="C18" s="65">
        <f>C14*22/88</f>
        <v>4310.9505703422055</v>
      </c>
      <c r="D18" s="65">
        <f>D14*22/52</f>
        <v>6547.1813395729741</v>
      </c>
      <c r="E18" s="66" t="s">
        <v>26</v>
      </c>
      <c r="F18" s="65">
        <f>F14*22/124</f>
        <v>2837.9021832454314</v>
      </c>
      <c r="G18" s="66" t="s">
        <v>26</v>
      </c>
      <c r="H18" s="66" t="s">
        <v>26</v>
      </c>
      <c r="I18" s="66"/>
      <c r="J18" s="37">
        <f>SUM(B18:I18)/22</f>
        <v>2523.1538483410368</v>
      </c>
      <c r="K18" s="38">
        <f>J18/12</f>
        <v>210.26282069508639</v>
      </c>
      <c r="L18" s="38">
        <v>206.9652405650348</v>
      </c>
      <c r="M18" s="38">
        <v>186.92849443567184</v>
      </c>
      <c r="N18" s="49">
        <f>K18*6</f>
        <v>1261.5769241705184</v>
      </c>
      <c r="P18" s="49"/>
      <c r="Q18" s="49"/>
    </row>
    <row r="19" spans="1:18">
      <c r="A19" s="23" t="s">
        <v>27</v>
      </c>
      <c r="B19" s="67">
        <f>(B14*15/75)</f>
        <v>28509.102661596953</v>
      </c>
      <c r="C19" s="67">
        <f>C14*15/88</f>
        <v>2939.2844797787766</v>
      </c>
      <c r="D19" s="67">
        <f>D14*15/52</f>
        <v>4463.9872769815738</v>
      </c>
      <c r="E19" s="67">
        <f>E14*15/102</f>
        <v>1991.8379557146052</v>
      </c>
      <c r="F19" s="67">
        <f>F14*15/124</f>
        <v>1934.9333067582486</v>
      </c>
      <c r="G19" s="68" t="s">
        <v>26</v>
      </c>
      <c r="H19" s="68" t="s">
        <v>26</v>
      </c>
      <c r="I19" s="68"/>
      <c r="J19" s="26">
        <f>SUM(B19:I19)/15</f>
        <v>2655.9430453886766</v>
      </c>
      <c r="K19" s="27">
        <f>J19/12</f>
        <v>221.32858711572305</v>
      </c>
      <c r="L19" s="27">
        <v>217.69049467174719</v>
      </c>
      <c r="M19" s="27">
        <v>194.77781749823021</v>
      </c>
      <c r="N19" s="49">
        <f>K19*6</f>
        <v>1327.9715226943383</v>
      </c>
      <c r="P19" s="49"/>
      <c r="Q19" s="49"/>
    </row>
    <row r="20" spans="1:18">
      <c r="A20" s="28" t="s">
        <v>28</v>
      </c>
      <c r="B20" s="69">
        <f>B14*15/75</f>
        <v>28509.102661596953</v>
      </c>
      <c r="C20" s="69">
        <f>C14*15/88</f>
        <v>2939.2844797787766</v>
      </c>
      <c r="D20" s="69">
        <f>D14*15/52</f>
        <v>4463.9872769815738</v>
      </c>
      <c r="E20" s="69">
        <f>E14*15/102</f>
        <v>1991.8379557146052</v>
      </c>
      <c r="F20" s="69">
        <f>F14*15/124</f>
        <v>1934.9333067582486</v>
      </c>
      <c r="G20" s="70" t="s">
        <v>26</v>
      </c>
      <c r="H20" s="70" t="s">
        <v>26</v>
      </c>
      <c r="I20" s="70"/>
      <c r="J20" s="31">
        <f>SUM(B20:H20)/15</f>
        <v>2655.9430453886766</v>
      </c>
      <c r="K20" s="32">
        <f>J20/12</f>
        <v>221.32858711572305</v>
      </c>
      <c r="L20" s="32">
        <v>217.69049467174719</v>
      </c>
      <c r="M20" s="32">
        <v>194.77781749823021</v>
      </c>
      <c r="N20" s="49">
        <f>K20*6</f>
        <v>1327.9715226943383</v>
      </c>
      <c r="P20" s="49"/>
      <c r="Q20" s="49"/>
    </row>
    <row r="21" spans="1:18">
      <c r="A21" s="33" t="s">
        <v>29</v>
      </c>
      <c r="B21" s="65">
        <f>B14*23/75</f>
        <v>43713.957414448661</v>
      </c>
      <c r="C21" s="66" t="s">
        <v>26</v>
      </c>
      <c r="D21" s="66" t="s">
        <v>26</v>
      </c>
      <c r="E21" s="65">
        <f>E14*23/102</f>
        <v>3054.1515320957278</v>
      </c>
      <c r="F21" s="65">
        <f>F14*23/124</f>
        <v>2966.8977370293146</v>
      </c>
      <c r="G21" s="66" t="s">
        <v>26</v>
      </c>
      <c r="H21" s="66" t="s">
        <v>26</v>
      </c>
      <c r="I21" s="66"/>
      <c r="J21" s="37">
        <f>SUM(B21:H21)</f>
        <v>49735.006683573702</v>
      </c>
      <c r="K21" s="38">
        <f>J21/12</f>
        <v>4144.5838902978085</v>
      </c>
      <c r="L21" s="38">
        <v>4082.78564848017</v>
      </c>
      <c r="M21" s="38">
        <v>3539.3895110840035</v>
      </c>
      <c r="N21" s="49">
        <f>K21*6</f>
        <v>24867.503341786851</v>
      </c>
      <c r="P21" s="49"/>
      <c r="Q21" s="49"/>
      <c r="R21" s="49"/>
    </row>
    <row r="22" spans="1:18">
      <c r="A22" s="22"/>
      <c r="B22" s="64"/>
      <c r="C22" s="64"/>
      <c r="D22" s="64"/>
      <c r="E22" s="71"/>
      <c r="F22" s="71"/>
      <c r="G22" s="64"/>
      <c r="H22" s="64"/>
      <c r="I22" s="64"/>
      <c r="J22" s="41"/>
      <c r="K22" s="42"/>
      <c r="L22" s="42"/>
      <c r="M22" s="42"/>
      <c r="P22" s="49"/>
    </row>
    <row r="23" spans="1:18">
      <c r="A23" s="43" t="s">
        <v>30</v>
      </c>
      <c r="B23" s="72" t="s">
        <v>26</v>
      </c>
      <c r="C23" s="72" t="s">
        <v>26</v>
      </c>
      <c r="D23" s="72" t="s">
        <v>26</v>
      </c>
      <c r="E23" s="73">
        <f>E14*23/102</f>
        <v>3054.1515320957278</v>
      </c>
      <c r="F23" s="73">
        <f>F14*23/124</f>
        <v>2966.8977370293146</v>
      </c>
      <c r="G23" s="73">
        <f>G14*23/59</f>
        <v>32292.781143262229</v>
      </c>
      <c r="H23" s="72" t="s">
        <v>26</v>
      </c>
      <c r="I23" s="72"/>
      <c r="J23" s="47">
        <f>SUM(B23:H23)</f>
        <v>38313.830412387273</v>
      </c>
      <c r="K23" s="48">
        <f>J23/12</f>
        <v>3192.8192010322728</v>
      </c>
      <c r="L23" s="48">
        <v>3182.6938594029566</v>
      </c>
      <c r="M23" s="48">
        <v>2750.5218113261344</v>
      </c>
      <c r="N23" s="49">
        <f>K23*6</f>
        <v>19156.915206193637</v>
      </c>
      <c r="P23" s="49"/>
      <c r="Q23" s="49"/>
      <c r="R23" s="49"/>
    </row>
    <row r="24" spans="1:18">
      <c r="A24" s="22" t="s">
        <v>31</v>
      </c>
      <c r="B24" s="64" t="s">
        <v>26</v>
      </c>
      <c r="C24" s="71">
        <f>C14*26/88</f>
        <v>5094.7597649498794</v>
      </c>
      <c r="D24" s="64" t="s">
        <v>26</v>
      </c>
      <c r="E24" s="71">
        <f>E14*26/102</f>
        <v>3452.5191232386496</v>
      </c>
      <c r="F24" s="71">
        <f>F14*26/124</f>
        <v>3353.8843983809643</v>
      </c>
      <c r="G24" s="71">
        <f>G14*26/59</f>
        <v>36504.883031513826</v>
      </c>
      <c r="H24" s="71">
        <f>H14*26/26</f>
        <v>7257.5779467680604</v>
      </c>
      <c r="I24" s="64"/>
      <c r="J24" s="47">
        <f>SUM(B24:H24)/26</f>
        <v>2140.9086255712068</v>
      </c>
      <c r="K24" s="42">
        <f>J24/12</f>
        <v>178.4090521309339</v>
      </c>
      <c r="L24" s="42">
        <v>176.20029982892524</v>
      </c>
      <c r="M24" s="42">
        <v>170.34414859651045</v>
      </c>
      <c r="N24" s="49">
        <f>K24*6</f>
        <v>1070.4543127856034</v>
      </c>
      <c r="O24" s="49"/>
      <c r="P24" s="49"/>
      <c r="Q24" s="49"/>
    </row>
    <row r="25" spans="1:18">
      <c r="A25" s="43" t="s">
        <v>32</v>
      </c>
      <c r="B25" s="72" t="s">
        <v>26</v>
      </c>
      <c r="C25" s="73">
        <f>C14*10/88</f>
        <v>1959.5229865191841</v>
      </c>
      <c r="D25" s="72" t="s">
        <v>26</v>
      </c>
      <c r="E25" s="72" t="s">
        <v>26</v>
      </c>
      <c r="F25" s="72" t="s">
        <v>26</v>
      </c>
      <c r="G25" s="73">
        <f>G14*10/59</f>
        <v>14040.339627505316</v>
      </c>
      <c r="H25" s="72" t="s">
        <v>26</v>
      </c>
      <c r="I25" s="72"/>
      <c r="J25" s="47">
        <f>SUM(B25:H25)</f>
        <v>15999.8626140245</v>
      </c>
      <c r="K25" s="48">
        <f>J25/12</f>
        <v>1333.3218845020417</v>
      </c>
      <c r="L25" s="48">
        <v>1329.8625639816348</v>
      </c>
      <c r="M25" s="48">
        <v>1188.9984591679508</v>
      </c>
      <c r="N25" s="49">
        <f>K25*6</f>
        <v>7999.9313070122498</v>
      </c>
      <c r="P25" s="49"/>
      <c r="Q25" s="49"/>
    </row>
    <row r="26" spans="1:18" hidden="1">
      <c r="A26" s="43"/>
      <c r="B26" s="44">
        <v>75</v>
      </c>
      <c r="C26" s="45">
        <v>88</v>
      </c>
      <c r="D26" s="44">
        <v>52</v>
      </c>
      <c r="E26" s="44">
        <v>102</v>
      </c>
      <c r="F26" s="44">
        <v>124</v>
      </c>
      <c r="G26" s="45">
        <v>59</v>
      </c>
      <c r="H26" s="44">
        <v>26</v>
      </c>
      <c r="I26" s="46"/>
      <c r="J26" s="47">
        <f>SUM(B26:I26)</f>
        <v>526</v>
      </c>
      <c r="K26" s="48"/>
      <c r="L26" s="48"/>
      <c r="M26" s="48"/>
      <c r="N26" s="49"/>
      <c r="P26" s="49"/>
      <c r="Q26" s="49"/>
    </row>
    <row r="27" spans="1:18" hidden="1">
      <c r="A27" s="43"/>
      <c r="B27" s="56">
        <f t="shared" ref="B27:H27" si="4">B26/$J26</f>
        <v>0.14258555133079848</v>
      </c>
      <c r="C27" s="56">
        <f t="shared" si="4"/>
        <v>0.16730038022813687</v>
      </c>
      <c r="D27" s="56">
        <f t="shared" si="4"/>
        <v>9.8859315589353611E-2</v>
      </c>
      <c r="E27" s="56">
        <f t="shared" si="4"/>
        <v>0.19391634980988592</v>
      </c>
      <c r="F27" s="56">
        <f t="shared" si="4"/>
        <v>0.23574144486692014</v>
      </c>
      <c r="G27" s="56">
        <f t="shared" si="4"/>
        <v>0.11216730038022814</v>
      </c>
      <c r="H27" s="56">
        <f t="shared" si="4"/>
        <v>4.9429657794676805E-2</v>
      </c>
      <c r="I27" s="46"/>
      <c r="J27" s="47"/>
      <c r="K27" s="48"/>
      <c r="L27" s="48"/>
      <c r="M27" s="48"/>
      <c r="N27" s="49"/>
      <c r="P27" s="49"/>
      <c r="Q27" s="49"/>
    </row>
    <row r="28" spans="1:18" hidden="1">
      <c r="A28" s="43"/>
      <c r="B28" s="44"/>
      <c r="C28" s="45"/>
      <c r="D28" s="44"/>
      <c r="E28" s="44"/>
      <c r="F28" s="44"/>
      <c r="G28" s="45"/>
      <c r="H28" s="44"/>
      <c r="I28" s="46"/>
      <c r="J28" s="47"/>
      <c r="K28" s="48"/>
      <c r="L28" s="48"/>
      <c r="M28" s="48"/>
      <c r="N28" s="49"/>
      <c r="P28" s="49"/>
      <c r="Q28" s="49"/>
    </row>
    <row r="29" spans="1:18">
      <c r="B29" s="51" t="s">
        <v>33</v>
      </c>
      <c r="C29" s="51" t="s">
        <v>34</v>
      </c>
      <c r="D29" s="51" t="s">
        <v>35</v>
      </c>
      <c r="E29" s="51" t="s">
        <v>36</v>
      </c>
      <c r="F29" s="51" t="s">
        <v>37</v>
      </c>
      <c r="G29" s="74" t="s">
        <v>38</v>
      </c>
      <c r="H29" s="74" t="s">
        <v>39</v>
      </c>
      <c r="I29" s="50"/>
      <c r="J29" s="50"/>
    </row>
    <row r="30" spans="1:18">
      <c r="A30" t="s">
        <v>40</v>
      </c>
      <c r="B30">
        <v>22</v>
      </c>
      <c r="C30">
        <v>15</v>
      </c>
      <c r="D30">
        <v>15</v>
      </c>
      <c r="E30" s="51">
        <v>23</v>
      </c>
      <c r="F30" s="51"/>
      <c r="G30" s="51"/>
      <c r="H30" s="51"/>
      <c r="I30" s="51">
        <f>SUM(B30:H30)</f>
        <v>75</v>
      </c>
      <c r="J30" s="51"/>
    </row>
    <row r="31" spans="1:18">
      <c r="A31" t="s">
        <v>41</v>
      </c>
      <c r="B31">
        <v>22</v>
      </c>
      <c r="C31">
        <v>15</v>
      </c>
      <c r="D31">
        <v>15</v>
      </c>
      <c r="E31" s="51"/>
      <c r="F31" s="51"/>
      <c r="G31" s="51">
        <v>26</v>
      </c>
      <c r="H31" s="51">
        <v>10</v>
      </c>
      <c r="I31" s="51">
        <f t="shared" ref="I31:I36" si="5">SUM(B31:H31)</f>
        <v>88</v>
      </c>
      <c r="J31" s="51"/>
    </row>
    <row r="32" spans="1:18">
      <c r="A32" t="s">
        <v>42</v>
      </c>
      <c r="B32">
        <v>22</v>
      </c>
      <c r="C32">
        <v>15</v>
      </c>
      <c r="D32">
        <v>15</v>
      </c>
      <c r="E32" s="51"/>
      <c r="F32" s="51"/>
      <c r="G32" s="51"/>
      <c r="H32" s="51"/>
      <c r="I32" s="51">
        <f t="shared" si="5"/>
        <v>52</v>
      </c>
      <c r="J32" s="51"/>
      <c r="K32" s="52"/>
    </row>
    <row r="33" spans="1:10">
      <c r="A33" t="s">
        <v>43</v>
      </c>
      <c r="C33">
        <v>15</v>
      </c>
      <c r="D33">
        <v>15</v>
      </c>
      <c r="E33" s="51">
        <v>23</v>
      </c>
      <c r="F33" s="51">
        <v>23</v>
      </c>
      <c r="G33" s="51">
        <v>26</v>
      </c>
      <c r="H33" s="51"/>
      <c r="I33" s="51">
        <f t="shared" si="5"/>
        <v>102</v>
      </c>
      <c r="J33" s="88"/>
    </row>
    <row r="34" spans="1:10">
      <c r="A34" t="s">
        <v>44</v>
      </c>
      <c r="B34">
        <v>22</v>
      </c>
      <c r="C34">
        <v>15</v>
      </c>
      <c r="D34">
        <v>15</v>
      </c>
      <c r="E34" s="51">
        <v>23</v>
      </c>
      <c r="F34" s="51">
        <v>23</v>
      </c>
      <c r="G34" s="51">
        <v>26</v>
      </c>
      <c r="H34" s="51"/>
      <c r="I34" s="51">
        <f t="shared" si="5"/>
        <v>124</v>
      </c>
      <c r="J34" s="51"/>
    </row>
    <row r="35" spans="1:10">
      <c r="A35" t="s">
        <v>45</v>
      </c>
      <c r="E35" s="51"/>
      <c r="F35" s="51">
        <v>23</v>
      </c>
      <c r="G35" s="51">
        <v>26</v>
      </c>
      <c r="H35" s="51">
        <v>10</v>
      </c>
      <c r="I35" s="51">
        <f t="shared" si="5"/>
        <v>59</v>
      </c>
      <c r="J35" s="51"/>
    </row>
    <row r="36" spans="1:10">
      <c r="A36" t="s">
        <v>46</v>
      </c>
      <c r="E36" s="51"/>
      <c r="F36" s="51"/>
      <c r="G36" s="51">
        <v>26</v>
      </c>
      <c r="H36" s="51"/>
      <c r="I36" s="51">
        <f t="shared" si="5"/>
        <v>26</v>
      </c>
      <c r="J36" s="88"/>
    </row>
    <row r="37" spans="1:10">
      <c r="A37" s="53" t="s">
        <v>47</v>
      </c>
      <c r="B37" s="53">
        <f>SUM(B30:B36)</f>
        <v>88</v>
      </c>
      <c r="C37" s="53">
        <f t="shared" ref="C37:I37" si="6">SUM(C30:C36)</f>
        <v>75</v>
      </c>
      <c r="D37" s="53">
        <f t="shared" si="6"/>
        <v>75</v>
      </c>
      <c r="E37" s="53">
        <f t="shared" si="6"/>
        <v>69</v>
      </c>
      <c r="F37" s="53">
        <f t="shared" si="6"/>
        <v>69</v>
      </c>
      <c r="G37" s="53">
        <f t="shared" si="6"/>
        <v>130</v>
      </c>
      <c r="H37" s="53">
        <f t="shared" si="6"/>
        <v>20</v>
      </c>
      <c r="I37" s="53">
        <f t="shared" si="6"/>
        <v>526</v>
      </c>
    </row>
    <row r="38" spans="1:10" hidden="1">
      <c r="B38">
        <f>B37/$I$37</f>
        <v>0.16730038022813687</v>
      </c>
      <c r="C38">
        <f t="shared" ref="C38:I38" si="7">C37/$I$37</f>
        <v>0.14258555133079848</v>
      </c>
      <c r="D38">
        <f t="shared" si="7"/>
        <v>0.14258555133079848</v>
      </c>
      <c r="E38">
        <f t="shared" si="7"/>
        <v>0.13117870722433461</v>
      </c>
      <c r="F38">
        <f t="shared" si="7"/>
        <v>0.13117870722433461</v>
      </c>
      <c r="G38">
        <f t="shared" si="7"/>
        <v>0.24714828897338403</v>
      </c>
      <c r="H38">
        <f t="shared" si="7"/>
        <v>3.8022813688212927E-2</v>
      </c>
      <c r="I38">
        <f t="shared" si="7"/>
        <v>1</v>
      </c>
    </row>
    <row r="39" spans="1:10" hidden="1">
      <c r="B39">
        <f t="shared" ref="B39:I39" si="8">B38*SUM($I$10:$I$13)</f>
        <v>9803.8022813688203</v>
      </c>
      <c r="C39">
        <f t="shared" si="8"/>
        <v>8355.513307984791</v>
      </c>
      <c r="D39">
        <f t="shared" si="8"/>
        <v>8355.513307984791</v>
      </c>
      <c r="E39">
        <f t="shared" si="8"/>
        <v>7687.0722433460087</v>
      </c>
      <c r="F39">
        <f t="shared" si="8"/>
        <v>7687.0722433460087</v>
      </c>
      <c r="G39">
        <f t="shared" si="8"/>
        <v>14482.889733840304</v>
      </c>
      <c r="H39">
        <f t="shared" si="8"/>
        <v>2228.1368821292776</v>
      </c>
      <c r="I39">
        <f t="shared" si="8"/>
        <v>58600</v>
      </c>
    </row>
    <row r="40" spans="1:10" hidden="1">
      <c r="I40" s="51"/>
    </row>
    <row r="41" spans="1:10" hidden="1">
      <c r="B41" s="75"/>
      <c r="C41" s="75"/>
      <c r="D41" s="75"/>
      <c r="E41" s="75"/>
      <c r="F41" s="75"/>
      <c r="G41" s="75"/>
      <c r="H41" s="75"/>
      <c r="I41" s="75"/>
    </row>
    <row r="42" spans="1:10" hidden="1">
      <c r="A42" t="s">
        <v>40</v>
      </c>
      <c r="B42" s="78">
        <f>B30/$I30*SUM(B$10:B$13)</f>
        <v>2450.9505703422055</v>
      </c>
      <c r="C42" s="78">
        <f t="shared" ref="C42:H48" si="9">C30/$I30*SUM(C$10:C$13)</f>
        <v>1960.7604562737638</v>
      </c>
      <c r="D42" s="78">
        <f t="shared" si="9"/>
        <v>1158.6311787072243</v>
      </c>
      <c r="E42" s="78">
        <f t="shared" si="9"/>
        <v>3484.80608365019</v>
      </c>
      <c r="F42" s="78">
        <f t="shared" si="9"/>
        <v>0</v>
      </c>
      <c r="G42" s="78">
        <f>G30/$I30*SUM(G$10:G$13)</f>
        <v>0</v>
      </c>
      <c r="H42" s="78">
        <f>H30/$I30*SUM(H$10:H$13)</f>
        <v>0</v>
      </c>
      <c r="I42" s="78"/>
    </row>
    <row r="43" spans="1:10" hidden="1">
      <c r="A43" t="s">
        <v>41</v>
      </c>
      <c r="B43" s="78">
        <f t="shared" ref="B43:B48" si="10">B31/$I31*SUM(B$10:B$13)</f>
        <v>2088.8783269961978</v>
      </c>
      <c r="C43" s="78">
        <f t="shared" si="9"/>
        <v>1671.1026615969577</v>
      </c>
      <c r="D43" s="78">
        <f t="shared" si="9"/>
        <v>987.46975458002066</v>
      </c>
      <c r="E43" s="78">
        <f t="shared" si="9"/>
        <v>0</v>
      </c>
      <c r="F43" s="78">
        <f t="shared" si="9"/>
        <v>0</v>
      </c>
      <c r="G43" s="78">
        <f t="shared" si="9"/>
        <v>1942.0238506740409</v>
      </c>
      <c r="H43" s="78">
        <f t="shared" si="9"/>
        <v>329.15658486000689</v>
      </c>
      <c r="I43" s="78"/>
    </row>
    <row r="44" spans="1:10" hidden="1">
      <c r="A44" t="s">
        <v>42</v>
      </c>
      <c r="B44" s="78">
        <f t="shared" si="10"/>
        <v>3535.0248610704884</v>
      </c>
      <c r="C44" s="78">
        <f t="shared" si="9"/>
        <v>2828.0198888563896</v>
      </c>
      <c r="D44" s="78">
        <f t="shared" si="9"/>
        <v>1671.1026615969581</v>
      </c>
      <c r="E44" s="78">
        <f t="shared" si="9"/>
        <v>0</v>
      </c>
      <c r="F44" s="78">
        <f t="shared" si="9"/>
        <v>0</v>
      </c>
      <c r="G44" s="78">
        <f t="shared" si="9"/>
        <v>0</v>
      </c>
      <c r="H44" s="78">
        <f t="shared" si="9"/>
        <v>0</v>
      </c>
      <c r="I44" s="78"/>
    </row>
    <row r="45" spans="1:10" hidden="1">
      <c r="A45" t="s">
        <v>43</v>
      </c>
      <c r="B45" s="78">
        <f t="shared" si="10"/>
        <v>0</v>
      </c>
      <c r="C45" s="78">
        <f t="shared" si="9"/>
        <v>1441.7356296130615</v>
      </c>
      <c r="D45" s="78">
        <f t="shared" si="9"/>
        <v>851.93469022590034</v>
      </c>
      <c r="E45" s="78">
        <f t="shared" si="9"/>
        <v>2562.3574144486693</v>
      </c>
      <c r="F45" s="78">
        <f t="shared" si="9"/>
        <v>3115.0227391336762</v>
      </c>
      <c r="G45" s="78">
        <f t="shared" si="9"/>
        <v>1675.4715574442703</v>
      </c>
      <c r="H45" s="78">
        <f t="shared" si="9"/>
        <v>0</v>
      </c>
      <c r="I45" s="78"/>
    </row>
    <row r="46" spans="1:10" hidden="1">
      <c r="A46" t="s">
        <v>44</v>
      </c>
      <c r="B46" s="78">
        <f t="shared" si="10"/>
        <v>1482.4297804489147</v>
      </c>
      <c r="C46" s="78">
        <f t="shared" si="9"/>
        <v>1185.9438243591312</v>
      </c>
      <c r="D46" s="78">
        <f t="shared" si="9"/>
        <v>700.78498712130511</v>
      </c>
      <c r="E46" s="78">
        <f t="shared" si="9"/>
        <v>2107.7456151110023</v>
      </c>
      <c r="F46" s="78">
        <f t="shared" si="9"/>
        <v>2562.3574144486688</v>
      </c>
      <c r="G46" s="78">
        <f t="shared" si="9"/>
        <v>1378.2104746718999</v>
      </c>
      <c r="H46" s="78">
        <f t="shared" si="9"/>
        <v>0</v>
      </c>
      <c r="I46" s="78"/>
    </row>
    <row r="47" spans="1:10" hidden="1">
      <c r="A47" t="s">
        <v>45</v>
      </c>
      <c r="B47" s="78">
        <f t="shared" si="10"/>
        <v>0</v>
      </c>
      <c r="C47" s="78">
        <f t="shared" si="9"/>
        <v>0</v>
      </c>
      <c r="D47" s="78">
        <f t="shared" si="9"/>
        <v>0</v>
      </c>
      <c r="E47" s="78">
        <f t="shared" si="9"/>
        <v>0</v>
      </c>
      <c r="F47" s="78">
        <f t="shared" si="9"/>
        <v>5385.293549010762</v>
      </c>
      <c r="G47" s="78">
        <f t="shared" si="9"/>
        <v>2896.5779467680609</v>
      </c>
      <c r="H47" s="78">
        <f t="shared" si="9"/>
        <v>490.94541470645095</v>
      </c>
      <c r="I47" s="78"/>
    </row>
    <row r="48" spans="1:10" hidden="1">
      <c r="A48" t="s">
        <v>46</v>
      </c>
      <c r="B48" s="78">
        <f t="shared" si="10"/>
        <v>0</v>
      </c>
      <c r="C48" s="78">
        <f t="shared" si="9"/>
        <v>0</v>
      </c>
      <c r="D48" s="78">
        <f t="shared" si="9"/>
        <v>0</v>
      </c>
      <c r="E48" s="78">
        <f t="shared" si="9"/>
        <v>0</v>
      </c>
      <c r="F48" s="78">
        <f t="shared" si="9"/>
        <v>0</v>
      </c>
      <c r="G48" s="78">
        <f>G36/$I36*SUM(G$10:G$13)</f>
        <v>6573.0038022813687</v>
      </c>
      <c r="H48" s="78">
        <f t="shared" si="9"/>
        <v>0</v>
      </c>
      <c r="I48" s="78"/>
    </row>
    <row r="49" spans="1:10" hidden="1">
      <c r="A49" s="53" t="s">
        <v>47</v>
      </c>
      <c r="B49" s="76">
        <f t="shared" ref="B49:H49" si="11">SUM(B42:B48)</f>
        <v>9557.283538857806</v>
      </c>
      <c r="C49" s="76">
        <f t="shared" si="11"/>
        <v>9087.5624606993042</v>
      </c>
      <c r="D49" s="76">
        <f t="shared" si="11"/>
        <v>5369.9232722314082</v>
      </c>
      <c r="E49" s="76">
        <f t="shared" si="11"/>
        <v>8154.909113209862</v>
      </c>
      <c r="F49" s="76">
        <f t="shared" si="11"/>
        <v>11062.673702593107</v>
      </c>
      <c r="G49" s="76">
        <f t="shared" si="11"/>
        <v>14465.287631839641</v>
      </c>
      <c r="H49" s="76">
        <f t="shared" si="11"/>
        <v>820.10199956645783</v>
      </c>
      <c r="I49" s="76">
        <f>SUM(B49:H49)</f>
        <v>58517.741718997589</v>
      </c>
      <c r="J49" s="76">
        <f>I49/134</f>
        <v>436.69956506714618</v>
      </c>
    </row>
    <row r="50" spans="1:10" hidden="1">
      <c r="B50" s="76">
        <f>B49/22</f>
        <v>434.4219790389912</v>
      </c>
      <c r="C50" s="76">
        <f t="shared" ref="C50:H50" si="12">C49/22</f>
        <v>413.07102094087747</v>
      </c>
      <c r="D50" s="76">
        <f t="shared" si="12"/>
        <v>244.08742146506401</v>
      </c>
      <c r="E50" s="76">
        <f t="shared" si="12"/>
        <v>370.67768696408461</v>
      </c>
      <c r="F50" s="76">
        <f t="shared" si="12"/>
        <v>502.84880466332305</v>
      </c>
      <c r="G50" s="76">
        <f t="shared" si="12"/>
        <v>657.51307417452915</v>
      </c>
      <c r="H50" s="76">
        <f t="shared" si="12"/>
        <v>37.277363616657176</v>
      </c>
      <c r="I50" s="78"/>
    </row>
    <row r="51" spans="1:10">
      <c r="B51" s="76"/>
      <c r="C51" s="76"/>
      <c r="D51" s="76"/>
      <c r="E51" s="76"/>
      <c r="F51" s="76"/>
      <c r="G51" s="76"/>
      <c r="H51" s="76"/>
    </row>
    <row r="52" spans="1:10">
      <c r="B52" s="76"/>
      <c r="C52" s="76"/>
      <c r="D52" s="76"/>
      <c r="E52" s="76"/>
      <c r="F52" s="76"/>
      <c r="G52" s="76"/>
      <c r="H52" s="76"/>
      <c r="I52" s="51"/>
    </row>
    <row r="53" spans="1:10">
      <c r="B53" s="76"/>
      <c r="C53" s="76"/>
      <c r="D53" s="76"/>
      <c r="E53" s="76"/>
      <c r="F53" s="76"/>
      <c r="G53" s="76"/>
      <c r="H53" s="76"/>
    </row>
    <row r="54" spans="1:10">
      <c r="B54" s="76"/>
      <c r="C54" s="76"/>
      <c r="D54" s="76"/>
      <c r="E54" s="76"/>
      <c r="F54" s="76"/>
      <c r="G54" s="76"/>
      <c r="H54" s="76"/>
      <c r="I54" s="51"/>
    </row>
    <row r="55" spans="1:10">
      <c r="B55" s="76"/>
      <c r="C55" s="76"/>
      <c r="D55" s="76"/>
      <c r="E55" s="76"/>
      <c r="F55" s="76"/>
      <c r="G55" s="76"/>
      <c r="H55" s="76"/>
    </row>
    <row r="56" spans="1:10">
      <c r="B56" s="76"/>
      <c r="C56" s="76"/>
      <c r="D56" s="76"/>
      <c r="E56" s="76"/>
      <c r="F56" s="76"/>
      <c r="G56" s="76"/>
      <c r="H56" s="76"/>
      <c r="I56" s="51"/>
    </row>
    <row r="57" spans="1:10">
      <c r="A57" s="51"/>
      <c r="B57" s="77"/>
      <c r="C57" s="77"/>
      <c r="D57" s="77"/>
      <c r="E57" s="77"/>
      <c r="F57" s="77"/>
      <c r="G57" s="77"/>
      <c r="H57" s="77"/>
    </row>
    <row r="58" spans="1:10">
      <c r="A58" s="51"/>
      <c r="B58" s="76"/>
      <c r="C58" s="76"/>
      <c r="D58" s="76"/>
      <c r="E58" s="76"/>
      <c r="F58" s="76"/>
      <c r="G58" s="76"/>
      <c r="H58" s="76"/>
      <c r="I58" s="51"/>
    </row>
    <row r="60" spans="1:10">
      <c r="I60" s="51"/>
    </row>
  </sheetData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60"/>
  <sheetViews>
    <sheetView workbookViewId="0">
      <pane xSplit="1" ySplit="1" topLeftCell="B8" activePane="bottomRight" state="frozen"/>
      <selection pane="bottomRight" activeCell="A38" sqref="A38:XFD50"/>
      <selection pane="bottomLeft" activeCell="A2" sqref="A2"/>
      <selection pane="topRight" activeCell="B1" sqref="B1"/>
    </sheetView>
  </sheetViews>
  <sheetFormatPr defaultRowHeight="12.75"/>
  <cols>
    <col min="1" max="1" width="44.5703125" bestFit="1" customWidth="1"/>
    <col min="2" max="14" width="22.28515625" customWidth="1"/>
  </cols>
  <sheetData>
    <row r="1" spans="1:16">
      <c r="A1" s="1"/>
      <c r="B1" s="3" t="s">
        <v>0</v>
      </c>
      <c r="C1" s="2" t="s">
        <v>1</v>
      </c>
      <c r="D1" s="3" t="s">
        <v>2</v>
      </c>
      <c r="E1" s="4" t="s">
        <v>3</v>
      </c>
      <c r="F1" s="5" t="s">
        <v>4</v>
      </c>
      <c r="G1" s="6" t="s">
        <v>5</v>
      </c>
      <c r="H1" s="5" t="s">
        <v>6</v>
      </c>
      <c r="I1" s="7" t="s">
        <v>7</v>
      </c>
      <c r="J1" s="1"/>
      <c r="K1" s="1"/>
      <c r="L1" s="1"/>
      <c r="M1" s="1"/>
    </row>
    <row r="2" spans="1:16">
      <c r="A2" s="1" t="s">
        <v>8</v>
      </c>
      <c r="B2" s="58">
        <f>26490+18000+15000</f>
        <v>59490</v>
      </c>
      <c r="C2" s="59">
        <v>2207</v>
      </c>
      <c r="D2" s="58">
        <v>0</v>
      </c>
      <c r="E2" s="60">
        <v>0</v>
      </c>
      <c r="F2" s="61">
        <v>0</v>
      </c>
      <c r="G2" s="62">
        <f>15453+12000+10000</f>
        <v>37453</v>
      </c>
      <c r="H2" s="61">
        <v>0</v>
      </c>
      <c r="I2" s="62">
        <f>SUM(B2:H2)</f>
        <v>99150</v>
      </c>
      <c r="J2" s="1"/>
      <c r="K2" s="1"/>
      <c r="L2" s="1"/>
      <c r="M2" s="1"/>
    </row>
    <row r="3" spans="1:16">
      <c r="A3" s="1" t="s">
        <v>9</v>
      </c>
      <c r="B3" s="58">
        <v>13000</v>
      </c>
      <c r="C3" s="59">
        <v>0</v>
      </c>
      <c r="D3" s="58">
        <v>0</v>
      </c>
      <c r="E3" s="60">
        <v>0</v>
      </c>
      <c r="F3" s="61">
        <v>0</v>
      </c>
      <c r="G3" s="62">
        <v>10000</v>
      </c>
      <c r="H3" s="61">
        <v>0</v>
      </c>
      <c r="I3" s="62">
        <f>SUM(B3:H3)</f>
        <v>23000</v>
      </c>
      <c r="J3" s="1"/>
      <c r="K3" s="1"/>
      <c r="L3" s="1"/>
      <c r="M3" s="1"/>
    </row>
    <row r="4" spans="1:16">
      <c r="A4" s="1" t="s">
        <v>10</v>
      </c>
      <c r="B4" s="58">
        <v>15500</v>
      </c>
      <c r="C4" s="59"/>
      <c r="D4" s="58"/>
      <c r="E4" s="60"/>
      <c r="F4" s="61"/>
      <c r="G4" s="62">
        <v>10000</v>
      </c>
      <c r="H4" s="61"/>
      <c r="I4" s="62">
        <f>SUM(B4:H4)</f>
        <v>25500</v>
      </c>
      <c r="J4" s="1"/>
      <c r="K4" s="1"/>
      <c r="L4" s="1"/>
      <c r="M4" s="1"/>
    </row>
    <row r="5" spans="1:16">
      <c r="A5" s="1" t="s">
        <v>11</v>
      </c>
      <c r="B5" s="58">
        <v>0</v>
      </c>
      <c r="C5" s="59">
        <v>0</v>
      </c>
      <c r="D5" s="58">
        <f>(2039*4)</f>
        <v>8156</v>
      </c>
      <c r="E5" s="60">
        <v>0</v>
      </c>
      <c r="F5" s="61">
        <v>0</v>
      </c>
      <c r="G5" s="62">
        <v>0</v>
      </c>
      <c r="H5" s="61">
        <v>0</v>
      </c>
      <c r="I5" s="62">
        <f>SUM(B5:H5)</f>
        <v>8156</v>
      </c>
      <c r="J5" s="1"/>
      <c r="K5" s="1"/>
      <c r="L5" s="1"/>
      <c r="M5" s="1"/>
    </row>
    <row r="6" spans="1:16">
      <c r="A6" s="1" t="s">
        <v>12</v>
      </c>
      <c r="B6" s="58">
        <v>35721</v>
      </c>
      <c r="C6" s="59">
        <v>5025</v>
      </c>
      <c r="D6" s="58">
        <v>1466</v>
      </c>
      <c r="E6" s="60">
        <v>2094</v>
      </c>
      <c r="F6" s="61">
        <v>2094</v>
      </c>
      <c r="G6" s="62">
        <v>9422</v>
      </c>
      <c r="H6" s="61">
        <v>4188</v>
      </c>
      <c r="I6" s="62">
        <f>SUM(B6:H6)</f>
        <v>60010</v>
      </c>
      <c r="J6" s="1"/>
      <c r="K6" s="1"/>
      <c r="L6" s="1"/>
      <c r="M6" s="1"/>
    </row>
    <row r="7" spans="1:16" hidden="1">
      <c r="A7" s="1" t="s">
        <v>13</v>
      </c>
      <c r="B7" s="58">
        <v>0</v>
      </c>
      <c r="C7" s="59">
        <v>0</v>
      </c>
      <c r="D7" s="58">
        <v>0</v>
      </c>
      <c r="E7" s="60">
        <v>0</v>
      </c>
      <c r="F7" s="61">
        <v>0</v>
      </c>
      <c r="G7" s="62">
        <v>0</v>
      </c>
      <c r="H7" s="61">
        <v>0</v>
      </c>
      <c r="I7" s="62"/>
      <c r="J7" s="1"/>
      <c r="K7" s="1"/>
      <c r="L7" s="1"/>
      <c r="M7" s="1"/>
    </row>
    <row r="8" spans="1:16">
      <c r="A8" s="1" t="s">
        <v>14</v>
      </c>
      <c r="B8" s="58">
        <v>9000</v>
      </c>
      <c r="C8" s="59">
        <v>0</v>
      </c>
      <c r="D8" s="58">
        <v>0</v>
      </c>
      <c r="E8" s="60">
        <v>0</v>
      </c>
      <c r="F8" s="61">
        <v>0</v>
      </c>
      <c r="G8" s="62">
        <v>9000</v>
      </c>
      <c r="H8" s="61">
        <v>0</v>
      </c>
      <c r="I8" s="62">
        <f>SUM(B8:H8)</f>
        <v>18000</v>
      </c>
      <c r="J8" s="1"/>
      <c r="K8" s="1"/>
      <c r="L8" s="1"/>
      <c r="M8" s="1"/>
    </row>
    <row r="9" spans="1:16" s="57" customFormat="1">
      <c r="A9" s="18" t="s">
        <v>15</v>
      </c>
      <c r="B9" s="79">
        <f t="shared" ref="B9:H9" si="0">SUM(B2:B8)</f>
        <v>132711</v>
      </c>
      <c r="C9" s="81">
        <f t="shared" si="0"/>
        <v>7232</v>
      </c>
      <c r="D9" s="79">
        <f t="shared" si="0"/>
        <v>9622</v>
      </c>
      <c r="E9" s="82">
        <f t="shared" si="0"/>
        <v>2094</v>
      </c>
      <c r="F9" s="83">
        <f t="shared" si="0"/>
        <v>2094</v>
      </c>
      <c r="G9" s="80">
        <f t="shared" si="0"/>
        <v>75875</v>
      </c>
      <c r="H9" s="83">
        <f t="shared" si="0"/>
        <v>4188</v>
      </c>
      <c r="I9" s="80">
        <f>SUM(B9:H9)</f>
        <v>233816</v>
      </c>
      <c r="J9" s="18"/>
      <c r="K9" s="18"/>
      <c r="L9" s="18"/>
      <c r="M9" s="18"/>
    </row>
    <row r="10" spans="1:16">
      <c r="A10" s="1" t="s">
        <v>16</v>
      </c>
      <c r="B10" s="58">
        <f>(75/526)*I10</f>
        <v>855.51330798479091</v>
      </c>
      <c r="C10" s="59">
        <f>(88/526)*I10</f>
        <v>1003.8022813688212</v>
      </c>
      <c r="D10" s="58">
        <f>(52/526)*I10</f>
        <v>593.15589353612165</v>
      </c>
      <c r="E10" s="60">
        <f>(102/526)*I10</f>
        <v>1163.4980988593156</v>
      </c>
      <c r="F10" s="61">
        <f>(124/526)*I10</f>
        <v>1414.4486692015209</v>
      </c>
      <c r="G10" s="62">
        <f>(59/526)*I10</f>
        <v>673.00380228136885</v>
      </c>
      <c r="H10" s="61">
        <f>(26/526)*I10</f>
        <v>296.57794676806083</v>
      </c>
      <c r="I10" s="62">
        <v>6000</v>
      </c>
      <c r="J10" s="1"/>
      <c r="K10" s="1"/>
      <c r="L10" s="1"/>
      <c r="M10" s="1"/>
    </row>
    <row r="11" spans="1:16">
      <c r="A11" s="1" t="s">
        <v>17</v>
      </c>
      <c r="B11" s="58">
        <f t="shared" ref="B11:B13" si="1">(75/526)*I11</f>
        <v>3029.9429657794676</v>
      </c>
      <c r="C11" s="59">
        <f>(88/526)*I11</f>
        <v>3555.1330798479084</v>
      </c>
      <c r="D11" s="58">
        <f>(52/526)*I11</f>
        <v>2100.7604562737642</v>
      </c>
      <c r="E11" s="60">
        <f>(102/526)*I11</f>
        <v>4120.722433460076</v>
      </c>
      <c r="F11" s="61">
        <f t="shared" ref="F11:F13" si="2">(124/526)*I11</f>
        <v>5009.5057034220526</v>
      </c>
      <c r="G11" s="62">
        <f>(59/526)*I11</f>
        <v>2383.555133079848</v>
      </c>
      <c r="H11" s="61">
        <f>(26/526)*I11</f>
        <v>1050.3802281368821</v>
      </c>
      <c r="I11" s="62">
        <v>21250</v>
      </c>
      <c r="J11" s="1"/>
      <c r="K11" s="1"/>
      <c r="L11" s="1"/>
      <c r="M11" s="1"/>
      <c r="P11" s="52"/>
    </row>
    <row r="12" spans="1:16">
      <c r="A12" s="54" t="s">
        <v>18</v>
      </c>
      <c r="B12" s="58">
        <f t="shared" si="1"/>
        <v>3564.638783269962</v>
      </c>
      <c r="C12" s="59">
        <f>(88/526)*I12</f>
        <v>4182.5095057034214</v>
      </c>
      <c r="D12" s="58">
        <f>(52/526)*I12</f>
        <v>2471.4828897338402</v>
      </c>
      <c r="E12" s="60">
        <f>(102/526)*I12</f>
        <v>4847.9087452471485</v>
      </c>
      <c r="F12" s="61">
        <f t="shared" si="2"/>
        <v>5893.5361216730034</v>
      </c>
      <c r="G12" s="62">
        <f>(59/526)*I12</f>
        <v>2804.1825095057034</v>
      </c>
      <c r="H12" s="61">
        <f>(26/526)*I12</f>
        <v>1235.7414448669201</v>
      </c>
      <c r="I12" s="63">
        <f>25000</f>
        <v>25000</v>
      </c>
      <c r="J12" s="1"/>
      <c r="K12" s="1"/>
      <c r="L12" s="1"/>
      <c r="M12" s="1"/>
    </row>
    <row r="13" spans="1:16">
      <c r="A13" s="1" t="s">
        <v>19</v>
      </c>
      <c r="B13" s="58">
        <f t="shared" si="1"/>
        <v>712.92775665399233</v>
      </c>
      <c r="C13" s="59">
        <f>(88/526)*I13</f>
        <v>836.50190114068437</v>
      </c>
      <c r="D13" s="58">
        <f>(52/526)*I13</f>
        <v>494.29657794676808</v>
      </c>
      <c r="E13" s="60">
        <f>(102/526)*I13</f>
        <v>969.58174904942962</v>
      </c>
      <c r="F13" s="61">
        <f t="shared" si="2"/>
        <v>1178.7072243346006</v>
      </c>
      <c r="G13" s="62">
        <f>(59/526)*I13</f>
        <v>560.83650190114065</v>
      </c>
      <c r="H13" s="61">
        <f>(26/526)*I13</f>
        <v>247.14828897338404</v>
      </c>
      <c r="I13" s="62">
        <v>5000</v>
      </c>
      <c r="J13" s="1"/>
      <c r="K13" s="1"/>
      <c r="L13" s="1"/>
      <c r="M13" s="1"/>
    </row>
    <row r="14" spans="1:16" s="57" customFormat="1">
      <c r="A14" s="18" t="s">
        <v>15</v>
      </c>
      <c r="B14" s="79">
        <f t="shared" ref="B14:H14" si="3">SUM(B9:B13)</f>
        <v>140874.02281368821</v>
      </c>
      <c r="C14" s="79">
        <f t="shared" si="3"/>
        <v>16809.946768060836</v>
      </c>
      <c r="D14" s="79">
        <f t="shared" si="3"/>
        <v>15281.695817490496</v>
      </c>
      <c r="E14" s="79">
        <f t="shared" si="3"/>
        <v>13195.711026615971</v>
      </c>
      <c r="F14" s="79">
        <f t="shared" si="3"/>
        <v>15590.197718631178</v>
      </c>
      <c r="G14" s="79">
        <f t="shared" si="3"/>
        <v>82296.577946768055</v>
      </c>
      <c r="H14" s="79">
        <f t="shared" si="3"/>
        <v>7017.8479087452479</v>
      </c>
      <c r="I14" s="80">
        <f>SUM(B14:H14)</f>
        <v>291065.99999999994</v>
      </c>
      <c r="J14" s="18"/>
      <c r="K14" s="18"/>
      <c r="L14" s="18"/>
      <c r="M14" s="18"/>
      <c r="N14" s="77">
        <f>I14-'2019 ny förd'!I14</f>
        <v>-60</v>
      </c>
    </row>
    <row r="15" spans="1:16" s="57" customFormat="1">
      <c r="A15" s="18"/>
      <c r="B15" s="79"/>
      <c r="C15" s="79"/>
      <c r="D15" s="79"/>
      <c r="E15" s="79"/>
      <c r="F15" s="79"/>
      <c r="G15" s="79"/>
      <c r="H15" s="79"/>
      <c r="I15" s="80"/>
      <c r="J15" s="18"/>
      <c r="K15" s="18"/>
      <c r="L15" s="18"/>
      <c r="M15" s="18"/>
      <c r="N15" s="77"/>
    </row>
    <row r="16" spans="1:16" s="84" customFormat="1">
      <c r="A16" s="84" t="s">
        <v>20</v>
      </c>
      <c r="B16" s="85"/>
      <c r="C16" s="85"/>
      <c r="D16" s="85"/>
      <c r="E16" s="85"/>
      <c r="F16" s="85"/>
      <c r="G16" s="85"/>
      <c r="H16" s="85"/>
      <c r="I16" s="85"/>
      <c r="N16" s="86"/>
    </row>
    <row r="17" spans="1:18">
      <c r="A17" s="20" t="s">
        <v>21</v>
      </c>
      <c r="B17" s="64"/>
      <c r="C17" s="64"/>
      <c r="D17" s="64"/>
      <c r="E17" s="64"/>
      <c r="F17" s="64"/>
      <c r="G17" s="64"/>
      <c r="H17" s="64"/>
      <c r="I17" s="64"/>
      <c r="J17" s="22" t="s">
        <v>22</v>
      </c>
      <c r="K17" s="22" t="s">
        <v>23</v>
      </c>
      <c r="L17" s="22">
        <v>2019</v>
      </c>
      <c r="M17" s="22">
        <v>2018</v>
      </c>
      <c r="N17" s="57" t="s">
        <v>50</v>
      </c>
    </row>
    <row r="18" spans="1:18">
      <c r="A18" s="33" t="s">
        <v>25</v>
      </c>
      <c r="B18" s="65">
        <f>(B14*22/75)</f>
        <v>41323.046692015203</v>
      </c>
      <c r="C18" s="65">
        <f>C14*22/88</f>
        <v>4202.486692015209</v>
      </c>
      <c r="D18" s="65">
        <f>D14*22/52</f>
        <v>6465.3328458613632</v>
      </c>
      <c r="E18" s="66" t="s">
        <v>26</v>
      </c>
      <c r="F18" s="65">
        <f>F14*22/124</f>
        <v>2766.002821047467</v>
      </c>
      <c r="G18" s="66" t="s">
        <v>26</v>
      </c>
      <c r="H18" s="66" t="s">
        <v>26</v>
      </c>
      <c r="I18" s="66"/>
      <c r="J18" s="37">
        <f>SUM(B18:I18)/22</f>
        <v>2488.9485932245111</v>
      </c>
      <c r="K18" s="38">
        <f>J18/12</f>
        <v>207.41238276870925</v>
      </c>
      <c r="L18" s="38">
        <v>206.9652405650348</v>
      </c>
      <c r="M18" s="38">
        <v>186.92849443567184</v>
      </c>
      <c r="N18" s="49">
        <f>K18*6</f>
        <v>1244.4742966122556</v>
      </c>
      <c r="P18" s="49"/>
      <c r="Q18" s="49"/>
    </row>
    <row r="19" spans="1:18">
      <c r="A19" s="23" t="s">
        <v>27</v>
      </c>
      <c r="B19" s="67">
        <f>(B14*15/75)</f>
        <v>28174.804562737645</v>
      </c>
      <c r="C19" s="67">
        <f>C14*15/88</f>
        <v>2865.331835464915</v>
      </c>
      <c r="D19" s="67">
        <f>D14*15/52</f>
        <v>4408.1814858145663</v>
      </c>
      <c r="E19" s="67">
        <f>E14*15/102</f>
        <v>1940.545739208231</v>
      </c>
      <c r="F19" s="67">
        <f>F14*15/124</f>
        <v>1885.9110143505457</v>
      </c>
      <c r="G19" s="68" t="s">
        <v>26</v>
      </c>
      <c r="H19" s="68" t="s">
        <v>26</v>
      </c>
      <c r="I19" s="68"/>
      <c r="J19" s="26">
        <f>SUM(B19:I19)/15</f>
        <v>2618.3183091717274</v>
      </c>
      <c r="K19" s="27">
        <f>J19/12</f>
        <v>218.19319243097729</v>
      </c>
      <c r="L19" s="27">
        <v>217.69049467174719</v>
      </c>
      <c r="M19" s="27">
        <v>194.77781749823021</v>
      </c>
      <c r="N19" s="49">
        <f>K19*6</f>
        <v>1309.1591545858637</v>
      </c>
      <c r="P19" s="49"/>
      <c r="Q19" s="49"/>
    </row>
    <row r="20" spans="1:18">
      <c r="A20" s="28" t="s">
        <v>28</v>
      </c>
      <c r="B20" s="69">
        <f>B14*15/75</f>
        <v>28174.804562737645</v>
      </c>
      <c r="C20" s="69">
        <f>C14*15/88</f>
        <v>2865.331835464915</v>
      </c>
      <c r="D20" s="69">
        <f>D14*15/52</f>
        <v>4408.1814858145663</v>
      </c>
      <c r="E20" s="69">
        <f>E14*15/102</f>
        <v>1940.545739208231</v>
      </c>
      <c r="F20" s="69">
        <f>F14*15/124</f>
        <v>1885.9110143505457</v>
      </c>
      <c r="G20" s="70" t="s">
        <v>26</v>
      </c>
      <c r="H20" s="70" t="s">
        <v>26</v>
      </c>
      <c r="I20" s="70"/>
      <c r="J20" s="31">
        <f>SUM(B20:H20)/15</f>
        <v>2618.3183091717274</v>
      </c>
      <c r="K20" s="32">
        <f>J20/12</f>
        <v>218.19319243097729</v>
      </c>
      <c r="L20" s="32">
        <v>217.69049467174719</v>
      </c>
      <c r="M20" s="32">
        <v>194.77781749823021</v>
      </c>
      <c r="N20" s="49">
        <f>K20*6</f>
        <v>1309.1591545858637</v>
      </c>
      <c r="P20" s="49"/>
      <c r="Q20" s="49"/>
    </row>
    <row r="21" spans="1:18">
      <c r="A21" s="33" t="s">
        <v>29</v>
      </c>
      <c r="B21" s="65">
        <f>B14*23/75</f>
        <v>43201.366996197721</v>
      </c>
      <c r="C21" s="66" t="s">
        <v>26</v>
      </c>
      <c r="D21" s="66" t="s">
        <v>26</v>
      </c>
      <c r="E21" s="65">
        <f>E14*23/102</f>
        <v>2975.5034667859545</v>
      </c>
      <c r="F21" s="65">
        <f>F14*23/124</f>
        <v>2891.7302220041702</v>
      </c>
      <c r="G21" s="66" t="s">
        <v>26</v>
      </c>
      <c r="H21" s="66" t="s">
        <v>26</v>
      </c>
      <c r="I21" s="66"/>
      <c r="J21" s="37">
        <f>SUM(B21:H21)</f>
        <v>49068.600684987839</v>
      </c>
      <c r="K21" s="38">
        <f>J21/12</f>
        <v>4089.0500570823201</v>
      </c>
      <c r="L21" s="38">
        <v>4082.78564848017</v>
      </c>
      <c r="M21" s="38">
        <v>3539.3895110840035</v>
      </c>
      <c r="N21" s="49">
        <f>K21*6</f>
        <v>24534.30034249392</v>
      </c>
      <c r="P21" s="49"/>
      <c r="Q21" s="49"/>
      <c r="R21" s="49"/>
    </row>
    <row r="22" spans="1:18">
      <c r="A22" s="22"/>
      <c r="B22" s="64"/>
      <c r="C22" s="64"/>
      <c r="D22" s="64"/>
      <c r="E22" s="71"/>
      <c r="F22" s="71"/>
      <c r="G22" s="64"/>
      <c r="H22" s="64"/>
      <c r="I22" s="64"/>
      <c r="J22" s="41"/>
      <c r="K22" s="42"/>
      <c r="L22" s="42"/>
      <c r="M22" s="42"/>
      <c r="P22" s="49"/>
    </row>
    <row r="23" spans="1:18">
      <c r="A23" s="43" t="s">
        <v>30</v>
      </c>
      <c r="B23" s="72" t="s">
        <v>26</v>
      </c>
      <c r="C23" s="72" t="s">
        <v>26</v>
      </c>
      <c r="D23" s="72" t="s">
        <v>26</v>
      </c>
      <c r="E23" s="73">
        <f>E14*23/102</f>
        <v>2975.5034667859545</v>
      </c>
      <c r="F23" s="73">
        <f>F14*23/124</f>
        <v>2891.7302220041702</v>
      </c>
      <c r="G23" s="73">
        <f>G14*23/59</f>
        <v>32081.71682670619</v>
      </c>
      <c r="H23" s="72" t="s">
        <v>26</v>
      </c>
      <c r="I23" s="72"/>
      <c r="J23" s="47">
        <f>SUM(B23:H23)</f>
        <v>37948.950515496312</v>
      </c>
      <c r="K23" s="48">
        <f>J23/12</f>
        <v>3162.4125429580258</v>
      </c>
      <c r="L23" s="48">
        <v>3182.6938594029566</v>
      </c>
      <c r="M23" s="48">
        <v>2750.5218113261344</v>
      </c>
      <c r="N23" s="49">
        <f>K23*6</f>
        <v>18974.475257748156</v>
      </c>
      <c r="P23" s="49"/>
      <c r="Q23" s="49"/>
      <c r="R23" s="49"/>
    </row>
    <row r="24" spans="1:18">
      <c r="A24" s="22" t="s">
        <v>31</v>
      </c>
      <c r="B24" s="64" t="s">
        <v>26</v>
      </c>
      <c r="C24" s="71">
        <f>C14*26/88</f>
        <v>4966.5751814725199</v>
      </c>
      <c r="D24" s="64" t="s">
        <v>26</v>
      </c>
      <c r="E24" s="71">
        <f>E14*26/102</f>
        <v>3363.6126146276006</v>
      </c>
      <c r="F24" s="71">
        <f>F14*26/124</f>
        <v>3268.9124248742792</v>
      </c>
      <c r="G24" s="71">
        <f>G14*26/59</f>
        <v>36266.288586711344</v>
      </c>
      <c r="H24" s="71">
        <f>H14*26/26</f>
        <v>7017.8479087452479</v>
      </c>
      <c r="I24" s="64"/>
      <c r="J24" s="47">
        <f>SUM(B24:H24)/26</f>
        <v>2110.8937198627304</v>
      </c>
      <c r="K24" s="42">
        <f>J24/12</f>
        <v>175.90780998856087</v>
      </c>
      <c r="L24" s="42">
        <v>176.20029982892524</v>
      </c>
      <c r="M24" s="42">
        <v>170.34414859651045</v>
      </c>
      <c r="N24" s="49">
        <f>K24*6</f>
        <v>1055.4468599313652</v>
      </c>
      <c r="O24" s="49"/>
      <c r="P24" s="49"/>
      <c r="Q24" s="49"/>
    </row>
    <row r="25" spans="1:18">
      <c r="A25" s="43" t="s">
        <v>32</v>
      </c>
      <c r="B25" s="72" t="s">
        <v>26</v>
      </c>
      <c r="C25" s="73">
        <f>C14*10/88</f>
        <v>1910.2212236432767</v>
      </c>
      <c r="D25" s="72" t="s">
        <v>26</v>
      </c>
      <c r="E25" s="72" t="s">
        <v>26</v>
      </c>
      <c r="F25" s="72" t="s">
        <v>26</v>
      </c>
      <c r="G25" s="73">
        <f>G14*10/59</f>
        <v>13948.572533350516</v>
      </c>
      <c r="H25" s="72" t="s">
        <v>26</v>
      </c>
      <c r="I25" s="72"/>
      <c r="J25" s="47">
        <f>SUM(B25:H25)</f>
        <v>15858.793756993793</v>
      </c>
      <c r="K25" s="48">
        <f>J25/12</f>
        <v>1321.5661464161494</v>
      </c>
      <c r="L25" s="48">
        <v>1329.8625639816348</v>
      </c>
      <c r="M25" s="48">
        <v>1188.9984591679508</v>
      </c>
      <c r="N25" s="49">
        <f>K25*6</f>
        <v>7929.3968784968965</v>
      </c>
      <c r="P25" s="49"/>
      <c r="Q25" s="49"/>
    </row>
    <row r="26" spans="1:18" hidden="1">
      <c r="A26" s="43"/>
      <c r="B26" s="44">
        <v>75</v>
      </c>
      <c r="C26" s="45">
        <v>88</v>
      </c>
      <c r="D26" s="44">
        <v>52</v>
      </c>
      <c r="E26" s="44">
        <v>102</v>
      </c>
      <c r="F26" s="44">
        <v>124</v>
      </c>
      <c r="G26" s="45">
        <v>59</v>
      </c>
      <c r="H26" s="44">
        <v>26</v>
      </c>
      <c r="I26" s="46"/>
      <c r="J26" s="47">
        <f>SUM(B26:I26)</f>
        <v>526</v>
      </c>
      <c r="K26" s="48"/>
      <c r="L26" s="48"/>
      <c r="M26" s="48"/>
      <c r="N26" s="49"/>
      <c r="P26" s="49"/>
      <c r="Q26" s="49"/>
    </row>
    <row r="27" spans="1:18" hidden="1">
      <c r="A27" s="43"/>
      <c r="B27" s="56">
        <f t="shared" ref="B27:H27" si="4">B26/$J26</f>
        <v>0.14258555133079848</v>
      </c>
      <c r="C27" s="56">
        <f t="shared" si="4"/>
        <v>0.16730038022813687</v>
      </c>
      <c r="D27" s="56">
        <f t="shared" si="4"/>
        <v>9.8859315589353611E-2</v>
      </c>
      <c r="E27" s="56">
        <f t="shared" si="4"/>
        <v>0.19391634980988592</v>
      </c>
      <c r="F27" s="56">
        <f t="shared" si="4"/>
        <v>0.23574144486692014</v>
      </c>
      <c r="G27" s="56">
        <f t="shared" si="4"/>
        <v>0.11216730038022814</v>
      </c>
      <c r="H27" s="56">
        <f t="shared" si="4"/>
        <v>4.9429657794676805E-2</v>
      </c>
      <c r="I27" s="46"/>
      <c r="J27" s="47"/>
      <c r="K27" s="48"/>
      <c r="L27" s="48"/>
      <c r="M27" s="48"/>
      <c r="N27" s="49"/>
      <c r="P27" s="49"/>
      <c r="Q27" s="49"/>
    </row>
    <row r="28" spans="1:18" hidden="1">
      <c r="A28" s="43"/>
      <c r="B28" s="44"/>
      <c r="C28" s="45"/>
      <c r="D28" s="44"/>
      <c r="E28" s="44"/>
      <c r="F28" s="44"/>
      <c r="G28" s="45"/>
      <c r="H28" s="44"/>
      <c r="I28" s="46"/>
      <c r="J28" s="47"/>
      <c r="K28" s="48"/>
      <c r="L28" s="48"/>
      <c r="M28" s="48"/>
      <c r="N28" s="49"/>
      <c r="P28" s="49"/>
      <c r="Q28" s="49"/>
    </row>
    <row r="29" spans="1:18">
      <c r="B29" s="51" t="s">
        <v>33</v>
      </c>
      <c r="C29" s="51" t="s">
        <v>34</v>
      </c>
      <c r="D29" s="51" t="s">
        <v>35</v>
      </c>
      <c r="E29" s="51" t="s">
        <v>36</v>
      </c>
      <c r="F29" s="51" t="s">
        <v>37</v>
      </c>
      <c r="G29" s="74" t="s">
        <v>38</v>
      </c>
      <c r="H29" s="74" t="s">
        <v>39</v>
      </c>
      <c r="I29" s="50"/>
      <c r="J29" s="50"/>
    </row>
    <row r="30" spans="1:18">
      <c r="A30" t="s">
        <v>40</v>
      </c>
      <c r="B30">
        <v>22</v>
      </c>
      <c r="C30">
        <v>15</v>
      </c>
      <c r="D30">
        <v>15</v>
      </c>
      <c r="E30" s="51">
        <v>23</v>
      </c>
      <c r="F30" s="51"/>
      <c r="G30" s="51"/>
      <c r="H30" s="51"/>
      <c r="I30" s="51">
        <f>SUM(B30:H30)</f>
        <v>75</v>
      </c>
      <c r="J30" s="51"/>
    </row>
    <row r="31" spans="1:18">
      <c r="A31" t="s">
        <v>41</v>
      </c>
      <c r="B31">
        <v>22</v>
      </c>
      <c r="C31">
        <v>15</v>
      </c>
      <c r="D31">
        <v>15</v>
      </c>
      <c r="E31" s="51"/>
      <c r="F31" s="51"/>
      <c r="G31" s="51">
        <v>26</v>
      </c>
      <c r="H31" s="51">
        <v>10</v>
      </c>
      <c r="I31" s="51">
        <f t="shared" ref="I31:I36" si="5">SUM(B31:H31)</f>
        <v>88</v>
      </c>
      <c r="J31" s="51"/>
    </row>
    <row r="32" spans="1:18">
      <c r="A32" t="s">
        <v>42</v>
      </c>
      <c r="B32">
        <v>22</v>
      </c>
      <c r="C32">
        <v>15</v>
      </c>
      <c r="D32">
        <v>15</v>
      </c>
      <c r="E32" s="51"/>
      <c r="F32" s="51"/>
      <c r="G32" s="51"/>
      <c r="H32" s="51"/>
      <c r="I32" s="51">
        <f t="shared" si="5"/>
        <v>52</v>
      </c>
      <c r="J32" s="51"/>
      <c r="K32" s="52"/>
    </row>
    <row r="33" spans="1:10">
      <c r="A33" t="s">
        <v>43</v>
      </c>
      <c r="C33">
        <v>15</v>
      </c>
      <c r="D33">
        <v>15</v>
      </c>
      <c r="E33" s="51">
        <v>23</v>
      </c>
      <c r="F33" s="51">
        <v>23</v>
      </c>
      <c r="G33" s="51">
        <v>26</v>
      </c>
      <c r="H33" s="51"/>
      <c r="I33" s="51">
        <f t="shared" si="5"/>
        <v>102</v>
      </c>
      <c r="J33" s="88"/>
    </row>
    <row r="34" spans="1:10">
      <c r="A34" t="s">
        <v>44</v>
      </c>
      <c r="B34">
        <v>22</v>
      </c>
      <c r="C34">
        <v>15</v>
      </c>
      <c r="D34">
        <v>15</v>
      </c>
      <c r="E34" s="51">
        <v>23</v>
      </c>
      <c r="F34" s="51">
        <v>23</v>
      </c>
      <c r="G34" s="51">
        <v>26</v>
      </c>
      <c r="H34" s="51"/>
      <c r="I34" s="51">
        <f t="shared" si="5"/>
        <v>124</v>
      </c>
      <c r="J34" s="51"/>
    </row>
    <row r="35" spans="1:10">
      <c r="A35" t="s">
        <v>45</v>
      </c>
      <c r="E35" s="51"/>
      <c r="F35" s="51">
        <v>23</v>
      </c>
      <c r="G35" s="51">
        <v>26</v>
      </c>
      <c r="H35" s="51">
        <v>10</v>
      </c>
      <c r="I35" s="51">
        <f t="shared" si="5"/>
        <v>59</v>
      </c>
      <c r="J35" s="51"/>
    </row>
    <row r="36" spans="1:10">
      <c r="A36" t="s">
        <v>46</v>
      </c>
      <c r="E36" s="51"/>
      <c r="F36" s="51"/>
      <c r="G36" s="51">
        <v>26</v>
      </c>
      <c r="H36" s="51"/>
      <c r="I36" s="51">
        <f t="shared" si="5"/>
        <v>26</v>
      </c>
      <c r="J36" s="88"/>
    </row>
    <row r="37" spans="1:10">
      <c r="A37" s="53" t="s">
        <v>47</v>
      </c>
      <c r="B37" s="53">
        <f>SUM(B30:B36)</f>
        <v>88</v>
      </c>
      <c r="C37" s="53">
        <f t="shared" ref="C37:I37" si="6">SUM(C30:C36)</f>
        <v>75</v>
      </c>
      <c r="D37" s="53">
        <f t="shared" si="6"/>
        <v>75</v>
      </c>
      <c r="E37" s="53">
        <f t="shared" si="6"/>
        <v>69</v>
      </c>
      <c r="F37" s="53">
        <f t="shared" si="6"/>
        <v>69</v>
      </c>
      <c r="G37" s="53">
        <f t="shared" si="6"/>
        <v>130</v>
      </c>
      <c r="H37" s="53">
        <f t="shared" si="6"/>
        <v>20</v>
      </c>
      <c r="I37" s="53">
        <f t="shared" si="6"/>
        <v>526</v>
      </c>
    </row>
    <row r="38" spans="1:10" hidden="1">
      <c r="B38">
        <f>B37/$I$37</f>
        <v>0.16730038022813687</v>
      </c>
      <c r="C38">
        <f t="shared" ref="C38:I38" si="7">C37/$I$37</f>
        <v>0.14258555133079848</v>
      </c>
      <c r="D38">
        <f t="shared" si="7"/>
        <v>0.14258555133079848</v>
      </c>
      <c r="E38">
        <f t="shared" si="7"/>
        <v>0.13117870722433461</v>
      </c>
      <c r="F38">
        <f t="shared" si="7"/>
        <v>0.13117870722433461</v>
      </c>
      <c r="G38">
        <f t="shared" si="7"/>
        <v>0.24714828897338403</v>
      </c>
      <c r="H38">
        <f t="shared" si="7"/>
        <v>3.8022813688212927E-2</v>
      </c>
      <c r="I38">
        <f t="shared" si="7"/>
        <v>1</v>
      </c>
    </row>
    <row r="39" spans="1:10" hidden="1">
      <c r="B39">
        <f t="shared" ref="B39:I39" si="8">B38*SUM($I$10:$I$13)</f>
        <v>9577.9467680608359</v>
      </c>
      <c r="C39">
        <f t="shared" si="8"/>
        <v>8163.0228136882124</v>
      </c>
      <c r="D39">
        <f t="shared" si="8"/>
        <v>8163.0228136882124</v>
      </c>
      <c r="E39">
        <f t="shared" si="8"/>
        <v>7509.9809885931563</v>
      </c>
      <c r="F39">
        <f t="shared" si="8"/>
        <v>7509.9809885931563</v>
      </c>
      <c r="G39">
        <f t="shared" si="8"/>
        <v>14149.239543726237</v>
      </c>
      <c r="H39">
        <f t="shared" si="8"/>
        <v>2176.80608365019</v>
      </c>
      <c r="I39">
        <f t="shared" si="8"/>
        <v>57250</v>
      </c>
    </row>
    <row r="40" spans="1:10" hidden="1">
      <c r="I40" s="51"/>
    </row>
    <row r="41" spans="1:10" hidden="1">
      <c r="B41" s="75"/>
      <c r="C41" s="75"/>
      <c r="D41" s="75"/>
      <c r="E41" s="75"/>
      <c r="F41" s="75"/>
      <c r="G41" s="75"/>
      <c r="H41" s="75"/>
      <c r="I41" s="75"/>
    </row>
    <row r="42" spans="1:10" hidden="1">
      <c r="A42" t="s">
        <v>40</v>
      </c>
      <c r="B42" s="78">
        <f>B30/$I30*SUM(B$10:B$13)</f>
        <v>2394.4866920152094</v>
      </c>
      <c r="C42" s="78">
        <f>C30/$I30*SUM(C$10:C$13)</f>
        <v>1915.5893536121673</v>
      </c>
      <c r="D42" s="78">
        <f t="shared" ref="D42:F42" si="9">D30/$I30*SUM(D$10:D$13)</f>
        <v>1131.9391634980989</v>
      </c>
      <c r="E42" s="78">
        <f t="shared" si="9"/>
        <v>3404.5247148288972</v>
      </c>
      <c r="F42" s="78">
        <f t="shared" si="9"/>
        <v>0</v>
      </c>
      <c r="G42" s="78">
        <f>G30/$I30*SUM(G$10:G$13)</f>
        <v>0</v>
      </c>
      <c r="H42" s="78">
        <f>H30/$I30*SUM(H$10:H$13)</f>
        <v>0</v>
      </c>
      <c r="I42" s="78"/>
    </row>
    <row r="43" spans="1:10" hidden="1">
      <c r="A43" t="s">
        <v>41</v>
      </c>
      <c r="B43" s="78">
        <f t="shared" ref="B43:B48" si="10">B31/$I31*SUM(B$10:B$13)</f>
        <v>2040.7557034220533</v>
      </c>
      <c r="C43" s="78">
        <f t="shared" ref="C43:H48" si="11">C31/$I31*SUM(C$10:C$13)</f>
        <v>1632.6045627376423</v>
      </c>
      <c r="D43" s="78">
        <f t="shared" si="11"/>
        <v>964.72087798133407</v>
      </c>
      <c r="E43" s="78">
        <f t="shared" si="11"/>
        <v>0</v>
      </c>
      <c r="F43" s="78">
        <f t="shared" si="11"/>
        <v>0</v>
      </c>
      <c r="G43" s="78">
        <f t="shared" si="11"/>
        <v>1897.284393363291</v>
      </c>
      <c r="H43" s="78">
        <f t="shared" si="11"/>
        <v>321.57362599377808</v>
      </c>
      <c r="I43" s="78"/>
    </row>
    <row r="44" spans="1:10" hidden="1">
      <c r="A44" t="s">
        <v>42</v>
      </c>
      <c r="B44" s="78">
        <f t="shared" si="10"/>
        <v>3453.5865750219364</v>
      </c>
      <c r="C44" s="78">
        <f t="shared" si="11"/>
        <v>2762.8692600175486</v>
      </c>
      <c r="D44" s="78">
        <f t="shared" si="11"/>
        <v>1632.6045627376423</v>
      </c>
      <c r="E44" s="78">
        <f t="shared" si="11"/>
        <v>0</v>
      </c>
      <c r="F44" s="78">
        <f t="shared" si="11"/>
        <v>0</v>
      </c>
      <c r="G44" s="78">
        <f t="shared" si="11"/>
        <v>0</v>
      </c>
      <c r="H44" s="78">
        <f t="shared" si="11"/>
        <v>0</v>
      </c>
      <c r="I44" s="78"/>
    </row>
    <row r="45" spans="1:10" hidden="1">
      <c r="A45" t="s">
        <v>43</v>
      </c>
      <c r="B45" s="78">
        <f t="shared" si="10"/>
        <v>0</v>
      </c>
      <c r="C45" s="78">
        <f t="shared" si="11"/>
        <v>1408.5215835383583</v>
      </c>
      <c r="D45" s="78">
        <f t="shared" si="11"/>
        <v>832.30820845448443</v>
      </c>
      <c r="E45" s="78">
        <f t="shared" si="11"/>
        <v>2503.3269961977189</v>
      </c>
      <c r="F45" s="78">
        <f t="shared" si="11"/>
        <v>3043.2602698874225</v>
      </c>
      <c r="G45" s="78">
        <f t="shared" si="11"/>
        <v>1636.8728099604862</v>
      </c>
      <c r="H45" s="78">
        <f t="shared" si="11"/>
        <v>0</v>
      </c>
      <c r="I45" s="78"/>
    </row>
    <row r="46" spans="1:10" hidden="1">
      <c r="A46" t="s">
        <v>44</v>
      </c>
      <c r="B46" s="78">
        <f t="shared" si="10"/>
        <v>1448.2782411382316</v>
      </c>
      <c r="C46" s="78">
        <f t="shared" si="11"/>
        <v>1158.6225929105851</v>
      </c>
      <c r="D46" s="78">
        <f t="shared" si="11"/>
        <v>684.64062308352754</v>
      </c>
      <c r="E46" s="78">
        <f t="shared" si="11"/>
        <v>2059.1883355819946</v>
      </c>
      <c r="F46" s="78">
        <f t="shared" si="11"/>
        <v>2503.3269961977185</v>
      </c>
      <c r="G46" s="78">
        <f t="shared" si="11"/>
        <v>1346.4598920642709</v>
      </c>
      <c r="H46" s="78">
        <f t="shared" si="11"/>
        <v>0</v>
      </c>
      <c r="I46" s="78"/>
    </row>
    <row r="47" spans="1:10" hidden="1">
      <c r="A47" t="s">
        <v>45</v>
      </c>
      <c r="B47" s="78">
        <f t="shared" si="10"/>
        <v>0</v>
      </c>
      <c r="C47" s="78">
        <f t="shared" si="11"/>
        <v>0</v>
      </c>
      <c r="D47" s="78">
        <f t="shared" si="11"/>
        <v>0</v>
      </c>
      <c r="E47" s="78">
        <f t="shared" si="11"/>
        <v>0</v>
      </c>
      <c r="F47" s="78">
        <f t="shared" si="11"/>
        <v>5261.2296191274081</v>
      </c>
      <c r="G47" s="78">
        <f t="shared" si="11"/>
        <v>2829.8479087452474</v>
      </c>
      <c r="H47" s="78">
        <f t="shared" si="11"/>
        <v>479.63523877038079</v>
      </c>
      <c r="I47" s="78"/>
    </row>
    <row r="48" spans="1:10" hidden="1">
      <c r="A48" t="s">
        <v>46</v>
      </c>
      <c r="B48" s="78">
        <f t="shared" si="10"/>
        <v>0</v>
      </c>
      <c r="C48" s="78">
        <f t="shared" si="11"/>
        <v>0</v>
      </c>
      <c r="D48" s="78">
        <f t="shared" si="11"/>
        <v>0</v>
      </c>
      <c r="E48" s="78">
        <f t="shared" si="11"/>
        <v>0</v>
      </c>
      <c r="F48" s="78">
        <f t="shared" si="11"/>
        <v>0</v>
      </c>
      <c r="G48" s="78">
        <f>G36/$I36*SUM(G$10:G$13)</f>
        <v>6421.5779467680613</v>
      </c>
      <c r="H48" s="78">
        <f t="shared" si="11"/>
        <v>0</v>
      </c>
      <c r="I48" s="78"/>
    </row>
    <row r="49" spans="1:10" hidden="1">
      <c r="A49" s="53" t="s">
        <v>47</v>
      </c>
      <c r="B49" s="76">
        <f t="shared" ref="B49:H49" si="12">SUM(B42:B48)</f>
        <v>9337.1072115974312</v>
      </c>
      <c r="C49" s="76">
        <f t="shared" si="12"/>
        <v>8878.2073528163019</v>
      </c>
      <c r="D49" s="76">
        <f t="shared" si="12"/>
        <v>5246.2134357550876</v>
      </c>
      <c r="E49" s="76">
        <f t="shared" si="12"/>
        <v>7967.0400466086112</v>
      </c>
      <c r="F49" s="76">
        <f t="shared" si="12"/>
        <v>10807.816885212549</v>
      </c>
      <c r="G49" s="76">
        <f t="shared" si="12"/>
        <v>14132.042950901356</v>
      </c>
      <c r="H49" s="76">
        <f t="shared" si="12"/>
        <v>801.20886476415888</v>
      </c>
      <c r="I49" s="76">
        <f>SUM(B49:H49)</f>
        <v>57169.636747655495</v>
      </c>
      <c r="J49" s="76">
        <f>I49/134</f>
        <v>426.63908020638428</v>
      </c>
    </row>
    <row r="50" spans="1:10" hidden="1">
      <c r="B50" s="76">
        <f>B49/22</f>
        <v>424.41396416351961</v>
      </c>
      <c r="C50" s="76">
        <f t="shared" ref="C50:H50" si="13">C49/22</f>
        <v>403.55487967346829</v>
      </c>
      <c r="D50" s="76">
        <f t="shared" si="13"/>
        <v>238.4642470797767</v>
      </c>
      <c r="E50" s="76">
        <f t="shared" si="13"/>
        <v>362.13818393675507</v>
      </c>
      <c r="F50" s="76">
        <f t="shared" si="13"/>
        <v>491.26440387329768</v>
      </c>
      <c r="G50" s="76">
        <f t="shared" si="13"/>
        <v>642.36558867733436</v>
      </c>
      <c r="H50" s="76">
        <f t="shared" si="13"/>
        <v>36.418584762007221</v>
      </c>
      <c r="I50" s="78"/>
    </row>
    <row r="51" spans="1:10">
      <c r="B51" s="76"/>
      <c r="C51" s="76"/>
      <c r="D51" s="76"/>
      <c r="E51" s="76"/>
      <c r="F51" s="76"/>
      <c r="G51" s="76"/>
      <c r="H51" s="76"/>
    </row>
    <row r="52" spans="1:10">
      <c r="B52" s="76"/>
      <c r="C52" s="76"/>
      <c r="D52" s="76"/>
      <c r="E52" s="76"/>
      <c r="F52" s="76"/>
      <c r="G52" s="76"/>
      <c r="H52" s="76"/>
      <c r="I52" s="51"/>
    </row>
    <row r="53" spans="1:10">
      <c r="B53" s="76"/>
      <c r="C53" s="76"/>
      <c r="D53" s="76"/>
      <c r="E53" s="76"/>
      <c r="F53" s="76"/>
      <c r="G53" s="76"/>
      <c r="H53" s="76"/>
    </row>
    <row r="54" spans="1:10">
      <c r="B54" s="76"/>
      <c r="C54" s="76"/>
      <c r="D54" s="76"/>
      <c r="E54" s="76"/>
      <c r="F54" s="76"/>
      <c r="G54" s="76"/>
      <c r="H54" s="76"/>
      <c r="I54" s="51"/>
    </row>
    <row r="55" spans="1:10">
      <c r="B55" s="76"/>
      <c r="C55" s="76"/>
      <c r="D55" s="76"/>
      <c r="E55" s="76"/>
      <c r="F55" s="76"/>
      <c r="G55" s="76"/>
      <c r="H55" s="76"/>
    </row>
    <row r="56" spans="1:10">
      <c r="B56" s="76"/>
      <c r="C56" s="76"/>
      <c r="D56" s="76"/>
      <c r="E56" s="76"/>
      <c r="F56" s="76"/>
      <c r="G56" s="76"/>
      <c r="H56" s="76"/>
      <c r="I56" s="51"/>
    </row>
    <row r="57" spans="1:10">
      <c r="A57" s="51"/>
      <c r="B57" s="77"/>
      <c r="C57" s="77"/>
      <c r="D57" s="77"/>
      <c r="E57" s="77"/>
      <c r="F57" s="77"/>
      <c r="G57" s="77"/>
      <c r="H57" s="77"/>
    </row>
    <row r="58" spans="1:10">
      <c r="A58" s="51"/>
      <c r="B58" s="76"/>
      <c r="C58" s="76"/>
      <c r="D58" s="76"/>
      <c r="E58" s="76"/>
      <c r="F58" s="76"/>
      <c r="G58" s="76"/>
      <c r="H58" s="76"/>
      <c r="I58" s="51"/>
    </row>
    <row r="60" spans="1:10">
      <c r="I60" s="51"/>
    </row>
  </sheetData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58"/>
  <sheetViews>
    <sheetView workbookViewId="0">
      <selection activeCell="J21" sqref="J21"/>
    </sheetView>
  </sheetViews>
  <sheetFormatPr defaultRowHeight="12.75"/>
  <cols>
    <col min="1" max="1" width="44.5703125" bestFit="1" customWidth="1"/>
    <col min="2" max="14" width="22.28515625" customWidth="1"/>
  </cols>
  <sheetData>
    <row r="1" spans="1:17">
      <c r="A1" s="1"/>
      <c r="B1" s="3" t="s">
        <v>0</v>
      </c>
      <c r="C1" s="2" t="s">
        <v>1</v>
      </c>
      <c r="D1" s="3" t="s">
        <v>2</v>
      </c>
      <c r="E1" s="4" t="s">
        <v>3</v>
      </c>
      <c r="F1" s="5" t="s">
        <v>4</v>
      </c>
      <c r="G1" s="6" t="s">
        <v>5</v>
      </c>
      <c r="H1" s="5" t="s">
        <v>6</v>
      </c>
      <c r="I1" s="7" t="s">
        <v>7</v>
      </c>
      <c r="J1" s="1"/>
      <c r="K1" s="1"/>
      <c r="L1" s="1"/>
      <c r="M1" s="1"/>
    </row>
    <row r="2" spans="1:17">
      <c r="A2" s="1" t="s">
        <v>8</v>
      </c>
      <c r="B2" s="58">
        <f>26490+18000+15000</f>
        <v>59490</v>
      </c>
      <c r="C2" s="59">
        <v>2207</v>
      </c>
      <c r="D2" s="58">
        <v>0</v>
      </c>
      <c r="E2" s="60">
        <v>0</v>
      </c>
      <c r="F2" s="61">
        <v>0</v>
      </c>
      <c r="G2" s="62">
        <f>15453+12000+10000</f>
        <v>37453</v>
      </c>
      <c r="H2" s="61">
        <v>0</v>
      </c>
      <c r="I2" s="62">
        <f>SUM(B2:H2)</f>
        <v>99150</v>
      </c>
      <c r="J2" s="1"/>
      <c r="K2" s="1"/>
      <c r="L2" s="1"/>
      <c r="M2" s="1"/>
    </row>
    <row r="3" spans="1:17">
      <c r="A3" s="1" t="s">
        <v>9</v>
      </c>
      <c r="B3" s="58">
        <v>13000</v>
      </c>
      <c r="C3" s="59">
        <v>0</v>
      </c>
      <c r="D3" s="58">
        <v>0</v>
      </c>
      <c r="E3" s="60">
        <v>0</v>
      </c>
      <c r="F3" s="61">
        <v>0</v>
      </c>
      <c r="G3" s="62">
        <v>10000</v>
      </c>
      <c r="H3" s="61">
        <v>0</v>
      </c>
      <c r="I3" s="62">
        <f>SUM(B3:H3)</f>
        <v>23000</v>
      </c>
      <c r="J3" s="1"/>
      <c r="K3" s="1"/>
      <c r="L3" s="1"/>
      <c r="M3" s="1"/>
    </row>
    <row r="4" spans="1:17">
      <c r="A4" s="1" t="s">
        <v>10</v>
      </c>
      <c r="B4" s="58">
        <v>15500</v>
      </c>
      <c r="C4" s="59"/>
      <c r="D4" s="58"/>
      <c r="E4" s="60"/>
      <c r="F4" s="61"/>
      <c r="G4" s="62">
        <v>10000</v>
      </c>
      <c r="H4" s="61"/>
      <c r="I4" s="62">
        <f>SUM(B4:H4)</f>
        <v>25500</v>
      </c>
      <c r="J4" s="1"/>
      <c r="K4" s="1"/>
      <c r="L4" s="1"/>
      <c r="M4" s="1"/>
    </row>
    <row r="5" spans="1:17">
      <c r="A5" s="1" t="s">
        <v>11</v>
      </c>
      <c r="B5" s="58">
        <v>0</v>
      </c>
      <c r="C5" s="59">
        <v>0</v>
      </c>
      <c r="D5" s="58">
        <f>(2039*4)</f>
        <v>8156</v>
      </c>
      <c r="E5" s="60">
        <v>0</v>
      </c>
      <c r="F5" s="61">
        <v>0</v>
      </c>
      <c r="G5" s="62">
        <v>0</v>
      </c>
      <c r="H5" s="61">
        <v>0</v>
      </c>
      <c r="I5" s="62">
        <f>SUM(B5:H5)</f>
        <v>8156</v>
      </c>
      <c r="J5" s="1"/>
      <c r="K5" s="1"/>
      <c r="L5" s="1"/>
      <c r="M5" s="1"/>
    </row>
    <row r="6" spans="1:17">
      <c r="A6" s="1" t="s">
        <v>12</v>
      </c>
      <c r="B6" s="58">
        <v>34567</v>
      </c>
      <c r="C6" s="59">
        <v>4863</v>
      </c>
      <c r="D6" s="58">
        <v>1418</v>
      </c>
      <c r="E6" s="60">
        <v>2026</v>
      </c>
      <c r="F6" s="61">
        <v>2026</v>
      </c>
      <c r="G6" s="62">
        <v>9118</v>
      </c>
      <c r="H6" s="61">
        <v>4052</v>
      </c>
      <c r="I6" s="62">
        <f>SUM(B6:H6)</f>
        <v>58070</v>
      </c>
      <c r="J6" s="1"/>
      <c r="K6" s="1"/>
      <c r="L6" s="1"/>
      <c r="M6" s="1"/>
    </row>
    <row r="7" spans="1:17" hidden="1">
      <c r="A7" s="1" t="s">
        <v>13</v>
      </c>
      <c r="B7" s="58">
        <v>0</v>
      </c>
      <c r="C7" s="59">
        <v>0</v>
      </c>
      <c r="D7" s="58">
        <v>0</v>
      </c>
      <c r="E7" s="60">
        <v>0</v>
      </c>
      <c r="F7" s="61">
        <v>0</v>
      </c>
      <c r="G7" s="62">
        <v>0</v>
      </c>
      <c r="H7" s="61">
        <v>0</v>
      </c>
      <c r="I7" s="62"/>
      <c r="J7" s="1"/>
      <c r="K7" s="1"/>
      <c r="L7" s="1"/>
      <c r="M7" s="1"/>
    </row>
    <row r="8" spans="1:17">
      <c r="A8" s="1" t="s">
        <v>14</v>
      </c>
      <c r="B8" s="58">
        <v>10000</v>
      </c>
      <c r="C8" s="59">
        <v>0</v>
      </c>
      <c r="D8" s="58">
        <v>0</v>
      </c>
      <c r="E8" s="60">
        <v>0</v>
      </c>
      <c r="F8" s="61">
        <v>0</v>
      </c>
      <c r="G8" s="62">
        <v>10000</v>
      </c>
      <c r="H8" s="61">
        <v>0</v>
      </c>
      <c r="I8" s="62">
        <f>SUM(B8:H8)</f>
        <v>20000</v>
      </c>
      <c r="J8" s="1"/>
      <c r="K8" s="1"/>
      <c r="L8" s="1"/>
      <c r="M8" s="1"/>
    </row>
    <row r="9" spans="1:17">
      <c r="A9" s="18" t="s">
        <v>15</v>
      </c>
      <c r="B9" s="58">
        <f t="shared" ref="B9:H9" si="0">SUM(B2:B8)</f>
        <v>132557</v>
      </c>
      <c r="C9" s="59">
        <f t="shared" si="0"/>
        <v>7070</v>
      </c>
      <c r="D9" s="58">
        <f t="shared" si="0"/>
        <v>9574</v>
      </c>
      <c r="E9" s="60">
        <f t="shared" si="0"/>
        <v>2026</v>
      </c>
      <c r="F9" s="61">
        <f t="shared" si="0"/>
        <v>2026</v>
      </c>
      <c r="G9" s="62">
        <f t="shared" si="0"/>
        <v>76571</v>
      </c>
      <c r="H9" s="61">
        <f t="shared" si="0"/>
        <v>4052</v>
      </c>
      <c r="I9" s="62">
        <f>SUM(B9:H9)</f>
        <v>233876</v>
      </c>
      <c r="J9" s="1"/>
      <c r="K9" s="1"/>
      <c r="L9" s="1"/>
      <c r="M9" s="1"/>
    </row>
    <row r="10" spans="1:17">
      <c r="A10" s="1" t="s">
        <v>16</v>
      </c>
      <c r="B10" s="58">
        <f>(75/526)*I10</f>
        <v>855.51330798479091</v>
      </c>
      <c r="C10" s="59">
        <f>(88/526)*I10</f>
        <v>1003.8022813688212</v>
      </c>
      <c r="D10" s="58">
        <f>(52/526)*I10</f>
        <v>593.15589353612165</v>
      </c>
      <c r="E10" s="60">
        <f>(102/526)*I10</f>
        <v>1163.4980988593156</v>
      </c>
      <c r="F10" s="61">
        <f>(124/526)*I10</f>
        <v>1414.4486692015209</v>
      </c>
      <c r="G10" s="62">
        <f>(59/526)*I10</f>
        <v>673.00380228136885</v>
      </c>
      <c r="H10" s="61">
        <f>(26/526)*I10</f>
        <v>296.57794676806083</v>
      </c>
      <c r="I10" s="62">
        <v>6000</v>
      </c>
      <c r="J10" s="1"/>
      <c r="K10" s="1"/>
      <c r="L10" s="1"/>
      <c r="M10" s="1"/>
    </row>
    <row r="11" spans="1:17">
      <c r="A11" s="1" t="s">
        <v>17</v>
      </c>
      <c r="B11" s="58">
        <f t="shared" ref="B11:B13" si="1">(75/526)*I11</f>
        <v>3029.9429657794676</v>
      </c>
      <c r="C11" s="59">
        <f>(88/526)*I11</f>
        <v>3555.1330798479084</v>
      </c>
      <c r="D11" s="58">
        <f>(52/526)*I11</f>
        <v>2100.7604562737642</v>
      </c>
      <c r="E11" s="60">
        <f>(102/526)*I11</f>
        <v>4120.722433460076</v>
      </c>
      <c r="F11" s="61">
        <f t="shared" ref="F11:F13" si="2">(124/526)*I11</f>
        <v>5009.5057034220526</v>
      </c>
      <c r="G11" s="62">
        <f>(59/526)*I11</f>
        <v>2383.555133079848</v>
      </c>
      <c r="H11" s="61">
        <f>(26/526)*I11</f>
        <v>1050.3802281368821</v>
      </c>
      <c r="I11" s="62">
        <v>21250</v>
      </c>
      <c r="J11" s="1"/>
      <c r="K11" s="1"/>
      <c r="L11" s="1"/>
      <c r="M11" s="1"/>
      <c r="P11" s="52"/>
    </row>
    <row r="12" spans="1:17">
      <c r="A12" s="54" t="s">
        <v>18</v>
      </c>
      <c r="B12" s="58">
        <f t="shared" si="1"/>
        <v>3564.638783269962</v>
      </c>
      <c r="C12" s="59">
        <f>(88/526)*I12</f>
        <v>4182.5095057034214</v>
      </c>
      <c r="D12" s="58">
        <f>(52/526)*I12</f>
        <v>2471.4828897338402</v>
      </c>
      <c r="E12" s="60">
        <f>(102/526)*I12</f>
        <v>4847.9087452471485</v>
      </c>
      <c r="F12" s="61">
        <f t="shared" si="2"/>
        <v>5893.5361216730034</v>
      </c>
      <c r="G12" s="62">
        <f>(59/526)*I12</f>
        <v>2804.1825095057034</v>
      </c>
      <c r="H12" s="61">
        <f>(26/526)*I12</f>
        <v>1235.7414448669201</v>
      </c>
      <c r="I12" s="63">
        <f>25000</f>
        <v>25000</v>
      </c>
      <c r="J12" s="1"/>
      <c r="K12" s="1"/>
      <c r="L12" s="1"/>
      <c r="M12" s="1"/>
    </row>
    <row r="13" spans="1:17">
      <c r="A13" s="1" t="s">
        <v>19</v>
      </c>
      <c r="B13" s="58">
        <f t="shared" si="1"/>
        <v>712.92775665399233</v>
      </c>
      <c r="C13" s="59">
        <f>(88/526)*I13</f>
        <v>836.50190114068437</v>
      </c>
      <c r="D13" s="58">
        <f>(52/526)*I13</f>
        <v>494.29657794676808</v>
      </c>
      <c r="E13" s="60">
        <f>(102/526)*I13</f>
        <v>969.58174904942962</v>
      </c>
      <c r="F13" s="61">
        <f t="shared" si="2"/>
        <v>1178.7072243346006</v>
      </c>
      <c r="G13" s="62">
        <f>(59/526)*I13</f>
        <v>560.83650190114065</v>
      </c>
      <c r="H13" s="61">
        <f>(26/526)*I13</f>
        <v>247.14828897338404</v>
      </c>
      <c r="I13" s="62">
        <v>5000</v>
      </c>
      <c r="J13" s="1"/>
      <c r="K13" s="1"/>
      <c r="L13" s="1"/>
      <c r="M13" s="1"/>
    </row>
    <row r="14" spans="1:17">
      <c r="A14" s="18" t="s">
        <v>15</v>
      </c>
      <c r="B14" s="58">
        <f t="shared" ref="B14:H14" si="3">SUM(B9:B13)</f>
        <v>140720.02281368821</v>
      </c>
      <c r="C14" s="58">
        <f t="shared" si="3"/>
        <v>16647.946768060836</v>
      </c>
      <c r="D14" s="58">
        <f t="shared" si="3"/>
        <v>15233.695817490496</v>
      </c>
      <c r="E14" s="58">
        <f t="shared" si="3"/>
        <v>13127.711026615971</v>
      </c>
      <c r="F14" s="58">
        <f t="shared" si="3"/>
        <v>15522.197718631178</v>
      </c>
      <c r="G14" s="58">
        <f t="shared" si="3"/>
        <v>82992.577946768055</v>
      </c>
      <c r="H14" s="58">
        <f t="shared" si="3"/>
        <v>6881.8479087452479</v>
      </c>
      <c r="I14" s="62">
        <f>SUM(B14:H14)</f>
        <v>291125.99999999994</v>
      </c>
      <c r="J14" s="1"/>
      <c r="K14" s="1"/>
      <c r="L14" s="1"/>
      <c r="M14" s="1"/>
    </row>
    <row r="15" spans="1:17">
      <c r="A15" s="20" t="s">
        <v>21</v>
      </c>
      <c r="B15" s="64"/>
      <c r="C15" s="64"/>
      <c r="D15" s="64"/>
      <c r="E15" s="64"/>
      <c r="F15" s="64"/>
      <c r="G15" s="64"/>
      <c r="H15" s="64"/>
      <c r="I15" s="64"/>
      <c r="J15" s="22" t="s">
        <v>22</v>
      </c>
      <c r="K15" s="22" t="s">
        <v>23</v>
      </c>
      <c r="L15" s="22">
        <v>2018</v>
      </c>
      <c r="M15" s="22">
        <v>2017</v>
      </c>
      <c r="N15" s="57" t="s">
        <v>50</v>
      </c>
    </row>
    <row r="16" spans="1:17">
      <c r="A16" s="33" t="s">
        <v>25</v>
      </c>
      <c r="B16" s="65">
        <f>(B14*22/75)</f>
        <v>41277.873358681871</v>
      </c>
      <c r="C16" s="65">
        <f>C14*22/88</f>
        <v>4161.986692015209</v>
      </c>
      <c r="D16" s="65">
        <f>D14*22/52</f>
        <v>6445.0251535536709</v>
      </c>
      <c r="E16" s="66" t="s">
        <v>26</v>
      </c>
      <c r="F16" s="65">
        <f>F14*22/124</f>
        <v>2753.9383049184348</v>
      </c>
      <c r="G16" s="66" t="s">
        <v>26</v>
      </c>
      <c r="H16" s="66" t="s">
        <v>26</v>
      </c>
      <c r="I16" s="66"/>
      <c r="J16" s="37">
        <f>SUM(B16:I16)/22</f>
        <v>2483.5828867804175</v>
      </c>
      <c r="K16" s="38">
        <f>J16/12</f>
        <v>206.9652405650348</v>
      </c>
      <c r="L16" s="38">
        <v>186.92849443567184</v>
      </c>
      <c r="M16" s="38">
        <v>199.06572070850294</v>
      </c>
      <c r="N16" s="49">
        <f>K16*6</f>
        <v>1241.7914433902088</v>
      </c>
      <c r="P16" s="49"/>
      <c r="Q16" s="49"/>
    </row>
    <row r="17" spans="1:18">
      <c r="A17" s="23" t="s">
        <v>27</v>
      </c>
      <c r="B17" s="67">
        <f>(B14*15/75)</f>
        <v>28144.004562737642</v>
      </c>
      <c r="C17" s="67">
        <f>C14*15/88</f>
        <v>2837.7181991012785</v>
      </c>
      <c r="D17" s="67">
        <f>D14*15/52</f>
        <v>4394.335331968412</v>
      </c>
      <c r="E17" s="67">
        <f>E14*15/102</f>
        <v>1930.545739208231</v>
      </c>
      <c r="F17" s="67">
        <f>F14*15/124</f>
        <v>1877.6852078989327</v>
      </c>
      <c r="G17" s="68" t="s">
        <v>26</v>
      </c>
      <c r="H17" s="68" t="s">
        <v>26</v>
      </c>
      <c r="I17" s="68"/>
      <c r="J17" s="26">
        <f>SUM(B17:I17)/15</f>
        <v>2612.2859360609664</v>
      </c>
      <c r="K17" s="27">
        <f>J17/12</f>
        <v>217.69049467174719</v>
      </c>
      <c r="L17" s="27">
        <v>194.77781749823021</v>
      </c>
      <c r="M17" s="27">
        <v>207.11007178226581</v>
      </c>
      <c r="N17" s="49">
        <f>K17*6</f>
        <v>1306.1429680304832</v>
      </c>
      <c r="P17" s="49"/>
      <c r="Q17" s="49"/>
    </row>
    <row r="18" spans="1:18">
      <c r="A18" s="28" t="s">
        <v>28</v>
      </c>
      <c r="B18" s="69">
        <f>B14*15/75</f>
        <v>28144.004562737642</v>
      </c>
      <c r="C18" s="69">
        <f>C14*15/88</f>
        <v>2837.7181991012785</v>
      </c>
      <c r="D18" s="69">
        <f>D14*15/52</f>
        <v>4394.335331968412</v>
      </c>
      <c r="E18" s="69">
        <f>E14*15/102</f>
        <v>1930.545739208231</v>
      </c>
      <c r="F18" s="69">
        <f>F14*15/124</f>
        <v>1877.6852078989327</v>
      </c>
      <c r="G18" s="70" t="s">
        <v>26</v>
      </c>
      <c r="H18" s="70" t="s">
        <v>26</v>
      </c>
      <c r="I18" s="70"/>
      <c r="J18" s="31">
        <f>SUM(B18:H18)/15</f>
        <v>2612.2859360609664</v>
      </c>
      <c r="K18" s="32">
        <f>J18/12</f>
        <v>217.69049467174719</v>
      </c>
      <c r="L18" s="32">
        <v>194.77781749823021</v>
      </c>
      <c r="M18" s="32">
        <v>207.11007178226581</v>
      </c>
      <c r="N18" s="49">
        <f>K18*6</f>
        <v>1306.1429680304832</v>
      </c>
      <c r="P18" s="49"/>
      <c r="Q18" s="49"/>
    </row>
    <row r="19" spans="1:18">
      <c r="A19" s="33" t="s">
        <v>29</v>
      </c>
      <c r="B19" s="65">
        <f>B14*23/75</f>
        <v>43154.140329531052</v>
      </c>
      <c r="C19" s="66" t="s">
        <v>26</v>
      </c>
      <c r="D19" s="66" t="s">
        <v>26</v>
      </c>
      <c r="E19" s="65">
        <f>E14*23/102</f>
        <v>2960.170133452621</v>
      </c>
      <c r="F19" s="65">
        <f>F14*23/124</f>
        <v>2879.1173187783634</v>
      </c>
      <c r="G19" s="66" t="s">
        <v>26</v>
      </c>
      <c r="H19" s="66" t="s">
        <v>26</v>
      </c>
      <c r="I19" s="66"/>
      <c r="J19" s="37">
        <f>SUM(B19:H19)</f>
        <v>48993.427781762039</v>
      </c>
      <c r="K19" s="38">
        <f>J19/12</f>
        <v>4082.78564848017</v>
      </c>
      <c r="L19" s="38">
        <v>3539.3895110840035</v>
      </c>
      <c r="M19" s="38">
        <v>3809.9548007590129</v>
      </c>
      <c r="N19" s="49">
        <f>K19*6</f>
        <v>24496.713890881019</v>
      </c>
      <c r="P19" s="49"/>
      <c r="Q19" s="49"/>
      <c r="R19" s="49"/>
    </row>
    <row r="20" spans="1:18">
      <c r="A20" s="22"/>
      <c r="B20" s="64"/>
      <c r="C20" s="64"/>
      <c r="D20" s="64"/>
      <c r="E20" s="71"/>
      <c r="F20" s="71"/>
      <c r="G20" s="64"/>
      <c r="H20" s="64"/>
      <c r="I20" s="64"/>
      <c r="J20" s="41"/>
      <c r="K20" s="42"/>
      <c r="L20" s="42"/>
      <c r="M20" s="42"/>
      <c r="P20" s="49"/>
    </row>
    <row r="21" spans="1:18">
      <c r="A21" s="43" t="s">
        <v>30</v>
      </c>
      <c r="B21" s="72" t="s">
        <v>26</v>
      </c>
      <c r="C21" s="72" t="s">
        <v>26</v>
      </c>
      <c r="D21" s="72" t="s">
        <v>26</v>
      </c>
      <c r="E21" s="73">
        <f>E14*23/102</f>
        <v>2960.170133452621</v>
      </c>
      <c r="F21" s="73">
        <f>F14*23/124</f>
        <v>2879.1173187783634</v>
      </c>
      <c r="G21" s="73">
        <f>G14*23/59</f>
        <v>32353.038860604494</v>
      </c>
      <c r="H21" s="72" t="s">
        <v>26</v>
      </c>
      <c r="I21" s="72"/>
      <c r="J21" s="47">
        <f>SUM(B21:H21)</f>
        <v>38192.326312835481</v>
      </c>
      <c r="K21" s="48">
        <f>J21/12</f>
        <v>3182.6938594029566</v>
      </c>
      <c r="L21" s="48">
        <v>2750.5218113261344</v>
      </c>
      <c r="M21" s="48">
        <v>2842.3066221203262</v>
      </c>
      <c r="N21" s="49">
        <f>K21*6</f>
        <v>19096.163156417741</v>
      </c>
      <c r="P21" s="49"/>
      <c r="Q21" s="49"/>
      <c r="R21" s="49"/>
    </row>
    <row r="22" spans="1:18">
      <c r="A22" s="22" t="s">
        <v>31</v>
      </c>
      <c r="B22" s="64" t="s">
        <v>26</v>
      </c>
      <c r="C22" s="71">
        <f>C14*26/88</f>
        <v>4918.7115451088839</v>
      </c>
      <c r="D22" s="64" t="s">
        <v>26</v>
      </c>
      <c r="E22" s="71">
        <f>E14*26/102</f>
        <v>3346.2792812942671</v>
      </c>
      <c r="F22" s="71">
        <f>F14*26/124</f>
        <v>3254.6543603581504</v>
      </c>
      <c r="G22" s="71">
        <f>G14*26/59</f>
        <v>36573.000451118125</v>
      </c>
      <c r="H22" s="71">
        <f>H14*26/26</f>
        <v>6881.8479087452479</v>
      </c>
      <c r="I22" s="64"/>
      <c r="J22" s="47">
        <f>SUM(B22:H22)/26</f>
        <v>2114.4035979471028</v>
      </c>
      <c r="K22" s="42">
        <f>J22/12</f>
        <v>176.20029982892524</v>
      </c>
      <c r="L22" s="42">
        <v>170.34414859651045</v>
      </c>
      <c r="M22" s="42">
        <v>175.11281660335808</v>
      </c>
      <c r="N22" s="49">
        <f>K22*6</f>
        <v>1057.2017989735514</v>
      </c>
      <c r="O22" s="49"/>
      <c r="P22" s="49"/>
      <c r="Q22" s="49"/>
    </row>
    <row r="23" spans="1:18">
      <c r="A23" s="43" t="s">
        <v>32</v>
      </c>
      <c r="B23" s="72" t="s">
        <v>26</v>
      </c>
      <c r="C23" s="73">
        <f>C14*10/88</f>
        <v>1891.812132734186</v>
      </c>
      <c r="D23" s="72" t="s">
        <v>26</v>
      </c>
      <c r="E23" s="72" t="s">
        <v>26</v>
      </c>
      <c r="F23" s="72" t="s">
        <v>26</v>
      </c>
      <c r="G23" s="73">
        <f>G14*10/59</f>
        <v>14066.538635045432</v>
      </c>
      <c r="H23" s="72" t="s">
        <v>26</v>
      </c>
      <c r="I23" s="72"/>
      <c r="J23" s="47">
        <f>SUM(B23:H23)</f>
        <v>15958.350767779619</v>
      </c>
      <c r="K23" s="48">
        <f>J23/12</f>
        <v>1329.8625639816348</v>
      </c>
      <c r="L23" s="48">
        <v>1188.9984591679508</v>
      </c>
      <c r="M23" s="48">
        <v>1226.9859078068828</v>
      </c>
      <c r="N23" s="49">
        <f>K23*6</f>
        <v>7979.1753838898094</v>
      </c>
      <c r="P23" s="49"/>
      <c r="Q23" s="49"/>
    </row>
    <row r="24" spans="1:18" hidden="1">
      <c r="A24" s="43"/>
      <c r="B24" s="44">
        <v>75</v>
      </c>
      <c r="C24" s="45">
        <v>88</v>
      </c>
      <c r="D24" s="44">
        <v>52</v>
      </c>
      <c r="E24" s="44">
        <v>102</v>
      </c>
      <c r="F24" s="44">
        <v>124</v>
      </c>
      <c r="G24" s="45">
        <v>59</v>
      </c>
      <c r="H24" s="44">
        <v>26</v>
      </c>
      <c r="I24" s="46"/>
      <c r="J24" s="47">
        <f>SUM(B24:I24)</f>
        <v>526</v>
      </c>
      <c r="K24" s="48"/>
      <c r="L24" s="48"/>
      <c r="M24" s="48"/>
      <c r="N24" s="49"/>
      <c r="P24" s="49"/>
      <c r="Q24" s="49"/>
    </row>
    <row r="25" spans="1:18" hidden="1">
      <c r="A25" s="43"/>
      <c r="B25" s="56">
        <f t="shared" ref="B25:H25" si="4">B24/$J24</f>
        <v>0.14258555133079848</v>
      </c>
      <c r="C25" s="56">
        <f t="shared" si="4"/>
        <v>0.16730038022813687</v>
      </c>
      <c r="D25" s="56">
        <f t="shared" si="4"/>
        <v>9.8859315589353611E-2</v>
      </c>
      <c r="E25" s="56">
        <f t="shared" si="4"/>
        <v>0.19391634980988592</v>
      </c>
      <c r="F25" s="56">
        <f t="shared" si="4"/>
        <v>0.23574144486692014</v>
      </c>
      <c r="G25" s="56">
        <f t="shared" si="4"/>
        <v>0.11216730038022814</v>
      </c>
      <c r="H25" s="56">
        <f t="shared" si="4"/>
        <v>4.9429657794676805E-2</v>
      </c>
      <c r="I25" s="46"/>
      <c r="J25" s="47"/>
      <c r="K25" s="48"/>
      <c r="L25" s="48"/>
      <c r="M25" s="48"/>
      <c r="N25" s="49"/>
      <c r="P25" s="49"/>
      <c r="Q25" s="49"/>
    </row>
    <row r="26" spans="1:18" hidden="1">
      <c r="A26" s="43"/>
      <c r="B26" s="44"/>
      <c r="C26" s="45"/>
      <c r="D26" s="44"/>
      <c r="E26" s="44"/>
      <c r="F26" s="44"/>
      <c r="G26" s="45"/>
      <c r="H26" s="44"/>
      <c r="I26" s="46"/>
      <c r="J26" s="47"/>
      <c r="K26" s="48"/>
      <c r="L26" s="48"/>
      <c r="M26" s="48"/>
      <c r="N26" s="49"/>
      <c r="P26" s="49"/>
      <c r="Q26" s="49"/>
    </row>
    <row r="27" spans="1:18">
      <c r="B27" s="51" t="s">
        <v>33</v>
      </c>
      <c r="C27" s="51" t="s">
        <v>34</v>
      </c>
      <c r="D27" s="51" t="s">
        <v>35</v>
      </c>
      <c r="E27" s="51" t="s">
        <v>36</v>
      </c>
      <c r="F27" s="51" t="s">
        <v>37</v>
      </c>
      <c r="G27" s="74" t="s">
        <v>38</v>
      </c>
      <c r="H27" s="74" t="s">
        <v>39</v>
      </c>
      <c r="I27" s="50"/>
      <c r="J27" s="50"/>
    </row>
    <row r="28" spans="1:18">
      <c r="A28" t="s">
        <v>40</v>
      </c>
      <c r="B28">
        <v>22</v>
      </c>
      <c r="C28">
        <v>15</v>
      </c>
      <c r="D28">
        <v>15</v>
      </c>
      <c r="E28" s="51">
        <v>23</v>
      </c>
      <c r="F28" s="51"/>
      <c r="G28" s="51"/>
      <c r="H28" s="51"/>
      <c r="I28" s="51">
        <f t="shared" ref="I28:I34" si="5">SUM(B28:H28)</f>
        <v>75</v>
      </c>
      <c r="J28" s="51"/>
    </row>
    <row r="29" spans="1:18">
      <c r="A29" t="s">
        <v>41</v>
      </c>
      <c r="B29">
        <v>22</v>
      </c>
      <c r="C29">
        <v>15</v>
      </c>
      <c r="D29">
        <v>15</v>
      </c>
      <c r="E29" s="51"/>
      <c r="F29" s="51"/>
      <c r="G29" s="51">
        <v>26</v>
      </c>
      <c r="H29" s="51">
        <v>10</v>
      </c>
      <c r="I29" s="51">
        <f t="shared" si="5"/>
        <v>88</v>
      </c>
      <c r="J29" s="51"/>
    </row>
    <row r="30" spans="1:18">
      <c r="A30" t="s">
        <v>42</v>
      </c>
      <c r="B30">
        <v>22</v>
      </c>
      <c r="C30">
        <v>15</v>
      </c>
      <c r="D30">
        <v>15</v>
      </c>
      <c r="E30" s="51"/>
      <c r="F30" s="51"/>
      <c r="G30" s="51"/>
      <c r="H30" s="51"/>
      <c r="I30" s="51">
        <f t="shared" si="5"/>
        <v>52</v>
      </c>
      <c r="J30" s="51"/>
      <c r="K30" s="52"/>
    </row>
    <row r="31" spans="1:18">
      <c r="A31" t="s">
        <v>43</v>
      </c>
      <c r="C31">
        <v>15</v>
      </c>
      <c r="D31">
        <v>15</v>
      </c>
      <c r="E31" s="51">
        <v>23</v>
      </c>
      <c r="F31" s="51">
        <v>23</v>
      </c>
      <c r="G31" s="51">
        <v>26</v>
      </c>
      <c r="H31" s="51"/>
      <c r="I31" s="51">
        <f t="shared" si="5"/>
        <v>102</v>
      </c>
      <c r="J31" s="51"/>
    </row>
    <row r="32" spans="1:18">
      <c r="A32" t="s">
        <v>44</v>
      </c>
      <c r="B32">
        <v>22</v>
      </c>
      <c r="C32">
        <v>15</v>
      </c>
      <c r="D32">
        <v>15</v>
      </c>
      <c r="E32" s="51">
        <v>23</v>
      </c>
      <c r="F32" s="51">
        <v>23</v>
      </c>
      <c r="G32" s="51">
        <v>26</v>
      </c>
      <c r="H32" s="51"/>
      <c r="I32" s="51">
        <f t="shared" si="5"/>
        <v>124</v>
      </c>
      <c r="J32" s="51"/>
    </row>
    <row r="33" spans="1:10">
      <c r="A33" t="s">
        <v>45</v>
      </c>
      <c r="E33" s="51"/>
      <c r="F33" s="51">
        <v>23</v>
      </c>
      <c r="G33" s="51">
        <v>26</v>
      </c>
      <c r="H33" s="51">
        <v>10</v>
      </c>
      <c r="I33" s="51">
        <f t="shared" si="5"/>
        <v>59</v>
      </c>
      <c r="J33" s="51"/>
    </row>
    <row r="34" spans="1:10">
      <c r="A34" t="s">
        <v>46</v>
      </c>
      <c r="E34" s="51"/>
      <c r="F34" s="51"/>
      <c r="G34" s="51">
        <v>26</v>
      </c>
      <c r="H34" s="51"/>
      <c r="I34" s="51">
        <f t="shared" si="5"/>
        <v>26</v>
      </c>
      <c r="J34" s="51"/>
    </row>
    <row r="35" spans="1:10">
      <c r="A35" s="53" t="s">
        <v>47</v>
      </c>
      <c r="B35" s="53">
        <f>SUM(B28:B34)</f>
        <v>88</v>
      </c>
      <c r="C35" s="53">
        <f t="shared" ref="C35:I35" si="6">SUM(C28:C34)</f>
        <v>75</v>
      </c>
      <c r="D35" s="53">
        <f t="shared" si="6"/>
        <v>75</v>
      </c>
      <c r="E35" s="53">
        <f t="shared" si="6"/>
        <v>69</v>
      </c>
      <c r="F35" s="53">
        <f t="shared" si="6"/>
        <v>69</v>
      </c>
      <c r="G35" s="53">
        <f t="shared" si="6"/>
        <v>130</v>
      </c>
      <c r="H35" s="53">
        <f t="shared" si="6"/>
        <v>20</v>
      </c>
      <c r="I35" s="53">
        <f t="shared" si="6"/>
        <v>526</v>
      </c>
    </row>
    <row r="36" spans="1:10">
      <c r="B36">
        <f t="shared" ref="B36:I36" si="7">B35/$I$35</f>
        <v>0.16730038022813687</v>
      </c>
      <c r="C36">
        <f t="shared" si="7"/>
        <v>0.14258555133079848</v>
      </c>
      <c r="D36">
        <f t="shared" si="7"/>
        <v>0.14258555133079848</v>
      </c>
      <c r="E36">
        <f t="shared" si="7"/>
        <v>0.13117870722433461</v>
      </c>
      <c r="F36">
        <f t="shared" si="7"/>
        <v>0.13117870722433461</v>
      </c>
      <c r="G36">
        <f t="shared" si="7"/>
        <v>0.24714828897338403</v>
      </c>
      <c r="H36">
        <f t="shared" si="7"/>
        <v>3.8022813688212927E-2</v>
      </c>
      <c r="I36">
        <f t="shared" si="7"/>
        <v>1</v>
      </c>
    </row>
    <row r="37" spans="1:10">
      <c r="B37">
        <f t="shared" ref="B37:I37" si="8">B36*SUM($I$10:$I$13)</f>
        <v>9577.9467680608359</v>
      </c>
      <c r="C37">
        <f t="shared" si="8"/>
        <v>8163.0228136882124</v>
      </c>
      <c r="D37">
        <f t="shared" si="8"/>
        <v>8163.0228136882124</v>
      </c>
      <c r="E37">
        <f t="shared" si="8"/>
        <v>7509.9809885931563</v>
      </c>
      <c r="F37">
        <f t="shared" si="8"/>
        <v>7509.9809885931563</v>
      </c>
      <c r="G37">
        <f t="shared" si="8"/>
        <v>14149.239543726237</v>
      </c>
      <c r="H37">
        <f t="shared" si="8"/>
        <v>2176.80608365019</v>
      </c>
      <c r="I37">
        <f t="shared" si="8"/>
        <v>57250</v>
      </c>
    </row>
    <row r="38" spans="1:10">
      <c r="I38" s="51"/>
    </row>
    <row r="39" spans="1:10">
      <c r="B39" s="75"/>
      <c r="C39" s="75"/>
      <c r="D39" s="75"/>
      <c r="E39" s="75"/>
      <c r="F39" s="75"/>
      <c r="G39" s="75"/>
      <c r="H39" s="75"/>
      <c r="I39" s="75"/>
    </row>
    <row r="40" spans="1:10">
      <c r="A40" t="s">
        <v>40</v>
      </c>
      <c r="B40" s="78">
        <f t="shared" ref="B40:B46" si="9">B28/$I28*SUM(B$10:B$13)</f>
        <v>2394.4866920152094</v>
      </c>
      <c r="C40" s="78">
        <f t="shared" ref="C40:F40" si="10">C28/$I28*SUM(C$10:C$13)</f>
        <v>1915.5893536121673</v>
      </c>
      <c r="D40" s="78">
        <f t="shared" si="10"/>
        <v>1131.9391634980989</v>
      </c>
      <c r="E40" s="78">
        <f t="shared" si="10"/>
        <v>3404.5247148288972</v>
      </c>
      <c r="F40" s="78">
        <f t="shared" si="10"/>
        <v>0</v>
      </c>
      <c r="G40" s="78">
        <f>G28/$I28*SUM(G$10:G$13)</f>
        <v>0</v>
      </c>
      <c r="H40" s="78">
        <f>H28/$I28*SUM(H$10:H$13)</f>
        <v>0</v>
      </c>
      <c r="I40" s="78"/>
    </row>
    <row r="41" spans="1:10">
      <c r="A41" t="s">
        <v>41</v>
      </c>
      <c r="B41" s="78">
        <f t="shared" si="9"/>
        <v>2040.7557034220533</v>
      </c>
      <c r="C41" s="78">
        <f t="shared" ref="C41:H41" si="11">C29/$I29*SUM(C$10:C$13)</f>
        <v>1632.6045627376423</v>
      </c>
      <c r="D41" s="78">
        <f t="shared" si="11"/>
        <v>964.72087798133407</v>
      </c>
      <c r="E41" s="78">
        <f t="shared" si="11"/>
        <v>0</v>
      </c>
      <c r="F41" s="78">
        <f t="shared" si="11"/>
        <v>0</v>
      </c>
      <c r="G41" s="78">
        <f t="shared" si="11"/>
        <v>1897.284393363291</v>
      </c>
      <c r="H41" s="78">
        <f t="shared" si="11"/>
        <v>321.57362599377808</v>
      </c>
      <c r="I41" s="78"/>
    </row>
    <row r="42" spans="1:10">
      <c r="A42" t="s">
        <v>42</v>
      </c>
      <c r="B42" s="78">
        <f t="shared" si="9"/>
        <v>3453.5865750219364</v>
      </c>
      <c r="C42" s="78">
        <f t="shared" ref="C42:H42" si="12">C30/$I30*SUM(C$10:C$13)</f>
        <v>2762.8692600175486</v>
      </c>
      <c r="D42" s="78">
        <f t="shared" si="12"/>
        <v>1632.6045627376423</v>
      </c>
      <c r="E42" s="78">
        <f t="shared" si="12"/>
        <v>0</v>
      </c>
      <c r="F42" s="78">
        <f t="shared" si="12"/>
        <v>0</v>
      </c>
      <c r="G42" s="78">
        <f t="shared" si="12"/>
        <v>0</v>
      </c>
      <c r="H42" s="78">
        <f t="shared" si="12"/>
        <v>0</v>
      </c>
      <c r="I42" s="78"/>
    </row>
    <row r="43" spans="1:10">
      <c r="A43" t="s">
        <v>43</v>
      </c>
      <c r="B43" s="78">
        <f t="shared" si="9"/>
        <v>0</v>
      </c>
      <c r="C43" s="78">
        <f t="shared" ref="C43:H43" si="13">C31/$I31*SUM(C$10:C$13)</f>
        <v>1408.5215835383583</v>
      </c>
      <c r="D43" s="78">
        <f t="shared" si="13"/>
        <v>832.30820845448443</v>
      </c>
      <c r="E43" s="78">
        <f t="shared" si="13"/>
        <v>2503.3269961977189</v>
      </c>
      <c r="F43" s="78">
        <f t="shared" si="13"/>
        <v>3043.2602698874225</v>
      </c>
      <c r="G43" s="78">
        <f t="shared" si="13"/>
        <v>1636.8728099604862</v>
      </c>
      <c r="H43" s="78">
        <f t="shared" si="13"/>
        <v>0</v>
      </c>
      <c r="I43" s="78"/>
    </row>
    <row r="44" spans="1:10">
      <c r="A44" t="s">
        <v>44</v>
      </c>
      <c r="B44" s="78">
        <f t="shared" si="9"/>
        <v>1448.2782411382316</v>
      </c>
      <c r="C44" s="78">
        <f t="shared" ref="C44:H44" si="14">C32/$I32*SUM(C$10:C$13)</f>
        <v>1158.6225929105851</v>
      </c>
      <c r="D44" s="78">
        <f t="shared" si="14"/>
        <v>684.64062308352754</v>
      </c>
      <c r="E44" s="78">
        <f t="shared" si="14"/>
        <v>2059.1883355819946</v>
      </c>
      <c r="F44" s="78">
        <f t="shared" si="14"/>
        <v>2503.3269961977185</v>
      </c>
      <c r="G44" s="78">
        <f t="shared" si="14"/>
        <v>1346.4598920642709</v>
      </c>
      <c r="H44" s="78">
        <f t="shared" si="14"/>
        <v>0</v>
      </c>
      <c r="I44" s="78"/>
    </row>
    <row r="45" spans="1:10">
      <c r="A45" t="s">
        <v>45</v>
      </c>
      <c r="B45" s="78">
        <f t="shared" si="9"/>
        <v>0</v>
      </c>
      <c r="C45" s="78">
        <f t="shared" ref="C45:H45" si="15">C33/$I33*SUM(C$10:C$13)</f>
        <v>0</v>
      </c>
      <c r="D45" s="78">
        <f t="shared" si="15"/>
        <v>0</v>
      </c>
      <c r="E45" s="78">
        <f t="shared" si="15"/>
        <v>0</v>
      </c>
      <c r="F45" s="78">
        <f t="shared" si="15"/>
        <v>5261.2296191274081</v>
      </c>
      <c r="G45" s="78">
        <f t="shared" si="15"/>
        <v>2829.8479087452474</v>
      </c>
      <c r="H45" s="78">
        <f t="shared" si="15"/>
        <v>479.63523877038079</v>
      </c>
      <c r="I45" s="78"/>
    </row>
    <row r="46" spans="1:10">
      <c r="A46" t="s">
        <v>46</v>
      </c>
      <c r="B46" s="78">
        <f t="shared" si="9"/>
        <v>0</v>
      </c>
      <c r="C46" s="78">
        <f t="shared" ref="C46:H46" si="16">C34/$I34*SUM(C$10:C$13)</f>
        <v>0</v>
      </c>
      <c r="D46" s="78">
        <f t="shared" si="16"/>
        <v>0</v>
      </c>
      <c r="E46" s="78">
        <f t="shared" si="16"/>
        <v>0</v>
      </c>
      <c r="F46" s="78">
        <f t="shared" si="16"/>
        <v>0</v>
      </c>
      <c r="G46" s="78">
        <f>G34/$I34*SUM(G$10:G$13)</f>
        <v>6421.5779467680613</v>
      </c>
      <c r="H46" s="78">
        <f t="shared" si="16"/>
        <v>0</v>
      </c>
      <c r="I46" s="78"/>
    </row>
    <row r="47" spans="1:10">
      <c r="A47" s="53" t="s">
        <v>47</v>
      </c>
      <c r="B47" s="76">
        <f t="shared" ref="B47:H47" si="17">SUM(B40:B46)</f>
        <v>9337.1072115974312</v>
      </c>
      <c r="C47" s="76">
        <f t="shared" si="17"/>
        <v>8878.2073528163019</v>
      </c>
      <c r="D47" s="76">
        <f t="shared" si="17"/>
        <v>5246.2134357550876</v>
      </c>
      <c r="E47" s="76">
        <f t="shared" si="17"/>
        <v>7967.0400466086112</v>
      </c>
      <c r="F47" s="76">
        <f t="shared" si="17"/>
        <v>10807.816885212549</v>
      </c>
      <c r="G47" s="76">
        <f t="shared" si="17"/>
        <v>14132.042950901356</v>
      </c>
      <c r="H47" s="76">
        <f t="shared" si="17"/>
        <v>801.20886476415888</v>
      </c>
      <c r="I47" s="76">
        <f>SUM(B47:H47)</f>
        <v>57169.636747655495</v>
      </c>
      <c r="J47" s="76">
        <f>I47/134</f>
        <v>426.63908020638428</v>
      </c>
    </row>
    <row r="48" spans="1:10">
      <c r="B48" s="76">
        <f t="shared" ref="B48:H48" si="18">B47/22</f>
        <v>424.41396416351961</v>
      </c>
      <c r="C48" s="76">
        <f t="shared" si="18"/>
        <v>403.55487967346829</v>
      </c>
      <c r="D48" s="76">
        <f t="shared" si="18"/>
        <v>238.4642470797767</v>
      </c>
      <c r="E48" s="76">
        <f t="shared" si="18"/>
        <v>362.13818393675507</v>
      </c>
      <c r="F48" s="76">
        <f t="shared" si="18"/>
        <v>491.26440387329768</v>
      </c>
      <c r="G48" s="76">
        <f t="shared" si="18"/>
        <v>642.36558867733436</v>
      </c>
      <c r="H48" s="76">
        <f t="shared" si="18"/>
        <v>36.418584762007221</v>
      </c>
      <c r="I48" s="78"/>
    </row>
    <row r="49" spans="1:9">
      <c r="B49" s="76"/>
      <c r="C49" s="76"/>
      <c r="D49" s="76"/>
      <c r="E49" s="76"/>
      <c r="F49" s="76"/>
      <c r="G49" s="76"/>
      <c r="H49" s="76"/>
    </row>
    <row r="50" spans="1:9">
      <c r="B50" s="76"/>
      <c r="C50" s="76"/>
      <c r="D50" s="76"/>
      <c r="E50" s="76"/>
      <c r="F50" s="76"/>
      <c r="G50" s="76"/>
      <c r="H50" s="76"/>
      <c r="I50" s="51"/>
    </row>
    <row r="51" spans="1:9">
      <c r="B51" s="76"/>
      <c r="C51" s="76"/>
      <c r="D51" s="76"/>
      <c r="E51" s="76"/>
      <c r="F51" s="76"/>
      <c r="G51" s="76"/>
      <c r="H51" s="76"/>
    </row>
    <row r="52" spans="1:9">
      <c r="B52" s="76"/>
      <c r="C52" s="76"/>
      <c r="D52" s="76"/>
      <c r="E52" s="76"/>
      <c r="F52" s="76"/>
      <c r="G52" s="76"/>
      <c r="H52" s="76"/>
      <c r="I52" s="51"/>
    </row>
    <row r="53" spans="1:9">
      <c r="B53" s="76"/>
      <c r="C53" s="76"/>
      <c r="D53" s="76"/>
      <c r="E53" s="76"/>
      <c r="F53" s="76"/>
      <c r="G53" s="76"/>
      <c r="H53" s="76"/>
    </row>
    <row r="54" spans="1:9">
      <c r="B54" s="76"/>
      <c r="C54" s="76"/>
      <c r="D54" s="76"/>
      <c r="E54" s="76"/>
      <c r="F54" s="76"/>
      <c r="G54" s="76"/>
      <c r="H54" s="76"/>
      <c r="I54" s="51"/>
    </row>
    <row r="55" spans="1:9">
      <c r="A55" s="51"/>
      <c r="B55" s="77"/>
      <c r="C55" s="77"/>
      <c r="D55" s="77"/>
      <c r="E55" s="77"/>
      <c r="F55" s="77"/>
      <c r="G55" s="77"/>
      <c r="H55" s="77"/>
    </row>
    <row r="56" spans="1:9">
      <c r="A56" s="51"/>
      <c r="B56" s="76"/>
      <c r="C56" s="76"/>
      <c r="D56" s="76"/>
      <c r="E56" s="76"/>
      <c r="F56" s="76"/>
      <c r="G56" s="76"/>
      <c r="H56" s="76"/>
      <c r="I56" s="51"/>
    </row>
    <row r="58" spans="1:9">
      <c r="I58" s="51"/>
    </row>
  </sheetData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60"/>
  <sheetViews>
    <sheetView workbookViewId="0">
      <pane xSplit="1" ySplit="1" topLeftCell="B8" activePane="bottomRight" state="frozen"/>
      <selection pane="bottomRight" activeCell="N14" sqref="N14"/>
      <selection pane="bottomLeft" activeCell="A2" sqref="A2"/>
      <selection pane="topRight" activeCell="B1" sqref="B1"/>
    </sheetView>
  </sheetViews>
  <sheetFormatPr defaultRowHeight="12.75"/>
  <cols>
    <col min="1" max="1" width="44.5703125" bestFit="1" customWidth="1"/>
    <col min="2" max="14" width="22.28515625" customWidth="1"/>
    <col min="15" max="15" width="12.42578125" bestFit="1" customWidth="1"/>
  </cols>
  <sheetData>
    <row r="1" spans="1:16">
      <c r="A1" s="1"/>
      <c r="B1" s="3" t="s">
        <v>0</v>
      </c>
      <c r="C1" s="2" t="s">
        <v>1</v>
      </c>
      <c r="D1" s="3" t="s">
        <v>2</v>
      </c>
      <c r="E1" s="4" t="s">
        <v>3</v>
      </c>
      <c r="F1" s="5" t="s">
        <v>4</v>
      </c>
      <c r="G1" s="6" t="s">
        <v>5</v>
      </c>
      <c r="H1" s="5" t="s">
        <v>6</v>
      </c>
      <c r="I1" s="7" t="s">
        <v>7</v>
      </c>
      <c r="J1" s="1"/>
      <c r="K1" s="1"/>
      <c r="L1" s="1"/>
      <c r="M1" s="1"/>
    </row>
    <row r="2" spans="1:16">
      <c r="A2" s="1" t="s">
        <v>8</v>
      </c>
      <c r="B2" s="58">
        <f>26490+18000+15000</f>
        <v>59490</v>
      </c>
      <c r="C2" s="59">
        <v>2207</v>
      </c>
      <c r="D2" s="58">
        <v>0</v>
      </c>
      <c r="E2" s="60">
        <v>0</v>
      </c>
      <c r="F2" s="61">
        <v>0</v>
      </c>
      <c r="G2" s="62">
        <f>15453+12000+10000</f>
        <v>37453</v>
      </c>
      <c r="H2" s="61">
        <v>0</v>
      </c>
      <c r="I2" s="62">
        <f>SUM(B2:H2)</f>
        <v>99150</v>
      </c>
      <c r="J2" s="1"/>
      <c r="K2" s="1"/>
      <c r="L2" s="1"/>
      <c r="M2" s="1"/>
    </row>
    <row r="3" spans="1:16">
      <c r="A3" s="1" t="s">
        <v>9</v>
      </c>
      <c r="B3" s="58">
        <v>13000</v>
      </c>
      <c r="C3" s="59">
        <v>0</v>
      </c>
      <c r="D3" s="58">
        <v>0</v>
      </c>
      <c r="E3" s="60">
        <v>0</v>
      </c>
      <c r="F3" s="61">
        <v>0</v>
      </c>
      <c r="G3" s="62">
        <v>10000</v>
      </c>
      <c r="H3" s="61">
        <v>0</v>
      </c>
      <c r="I3" s="62">
        <f>SUM(B3:H3)</f>
        <v>23000</v>
      </c>
      <c r="J3" s="1"/>
      <c r="K3" s="1"/>
      <c r="L3" s="1"/>
      <c r="M3" s="1"/>
    </row>
    <row r="4" spans="1:16">
      <c r="A4" s="1" t="s">
        <v>10</v>
      </c>
      <c r="B4" s="58">
        <v>15500</v>
      </c>
      <c r="C4" s="59"/>
      <c r="D4" s="58"/>
      <c r="E4" s="60"/>
      <c r="F4" s="61"/>
      <c r="G4" s="62">
        <v>10000</v>
      </c>
      <c r="H4" s="61"/>
      <c r="I4" s="62">
        <f>SUM(B4:H4)</f>
        <v>25500</v>
      </c>
      <c r="J4" s="1"/>
      <c r="K4" s="1"/>
      <c r="L4" s="1"/>
      <c r="M4" s="1"/>
    </row>
    <row r="5" spans="1:16">
      <c r="A5" s="1" t="s">
        <v>11</v>
      </c>
      <c r="B5" s="58">
        <v>0</v>
      </c>
      <c r="C5" s="59">
        <v>0</v>
      </c>
      <c r="D5" s="58">
        <f>(2039*4)</f>
        <v>8156</v>
      </c>
      <c r="E5" s="60">
        <v>0</v>
      </c>
      <c r="F5" s="61">
        <v>0</v>
      </c>
      <c r="G5" s="62">
        <v>0</v>
      </c>
      <c r="H5" s="61">
        <v>0</v>
      </c>
      <c r="I5" s="62">
        <f>SUM(B5:H5)</f>
        <v>8156</v>
      </c>
      <c r="J5" s="1"/>
      <c r="K5" s="1"/>
      <c r="L5" s="1"/>
      <c r="M5" s="1"/>
    </row>
    <row r="6" spans="1:16">
      <c r="A6" s="1" t="s">
        <v>12</v>
      </c>
      <c r="B6" s="58">
        <v>35721</v>
      </c>
      <c r="C6" s="59">
        <v>5025</v>
      </c>
      <c r="D6" s="58">
        <v>1466</v>
      </c>
      <c r="E6" s="60">
        <v>2094</v>
      </c>
      <c r="F6" s="61">
        <v>2094</v>
      </c>
      <c r="G6" s="62">
        <v>9422</v>
      </c>
      <c r="H6" s="61">
        <v>4188</v>
      </c>
      <c r="I6" s="62">
        <f>SUM(B6:H6)</f>
        <v>60010</v>
      </c>
      <c r="J6" s="1"/>
      <c r="K6" s="1"/>
      <c r="L6" s="1"/>
      <c r="M6" s="1"/>
    </row>
    <row r="7" spans="1:16" hidden="1">
      <c r="A7" s="1" t="s">
        <v>13</v>
      </c>
      <c r="B7" s="58">
        <v>0</v>
      </c>
      <c r="C7" s="59">
        <v>0</v>
      </c>
      <c r="D7" s="58">
        <v>0</v>
      </c>
      <c r="E7" s="60">
        <v>0</v>
      </c>
      <c r="F7" s="61">
        <v>0</v>
      </c>
      <c r="G7" s="62">
        <v>0</v>
      </c>
      <c r="H7" s="61">
        <v>0</v>
      </c>
      <c r="I7" s="62"/>
      <c r="J7" s="1"/>
      <c r="K7" s="1"/>
      <c r="L7" s="1"/>
      <c r="M7" s="1"/>
    </row>
    <row r="8" spans="1:16">
      <c r="A8" s="1" t="s">
        <v>14</v>
      </c>
      <c r="B8" s="58">
        <v>9000</v>
      </c>
      <c r="C8" s="59">
        <v>0</v>
      </c>
      <c r="D8" s="58">
        <v>0</v>
      </c>
      <c r="E8" s="60">
        <v>0</v>
      </c>
      <c r="F8" s="61">
        <v>0</v>
      </c>
      <c r="G8" s="62">
        <v>9000</v>
      </c>
      <c r="H8" s="61">
        <v>0</v>
      </c>
      <c r="I8" s="62">
        <f>SUM(B8:H8)</f>
        <v>18000</v>
      </c>
      <c r="J8" s="1"/>
      <c r="K8" s="1"/>
      <c r="L8" s="1"/>
      <c r="M8" s="1"/>
    </row>
    <row r="9" spans="1:16" s="57" customFormat="1">
      <c r="A9" s="18" t="s">
        <v>15</v>
      </c>
      <c r="B9" s="79">
        <f t="shared" ref="B9:H9" si="0">SUM(B2:B8)</f>
        <v>132711</v>
      </c>
      <c r="C9" s="81">
        <f t="shared" si="0"/>
        <v>7232</v>
      </c>
      <c r="D9" s="79">
        <f t="shared" si="0"/>
        <v>9622</v>
      </c>
      <c r="E9" s="82">
        <f t="shared" si="0"/>
        <v>2094</v>
      </c>
      <c r="F9" s="83">
        <f t="shared" si="0"/>
        <v>2094</v>
      </c>
      <c r="G9" s="80">
        <f t="shared" si="0"/>
        <v>75875</v>
      </c>
      <c r="H9" s="83">
        <f t="shared" si="0"/>
        <v>4188</v>
      </c>
      <c r="I9" s="80">
        <f>SUM(B9:H9)</f>
        <v>233816</v>
      </c>
      <c r="J9" s="18"/>
      <c r="K9" s="18"/>
      <c r="L9" s="18"/>
      <c r="M9" s="18"/>
    </row>
    <row r="10" spans="1:16">
      <c r="A10" s="1" t="s">
        <v>16</v>
      </c>
      <c r="B10" s="58">
        <f>$J10*B$9</f>
        <v>3405.5240017791771</v>
      </c>
      <c r="C10" s="59">
        <f t="shared" ref="C10:H13" si="1">$J10*C$9</f>
        <v>185.58182502480582</v>
      </c>
      <c r="D10" s="58">
        <f t="shared" si="1"/>
        <v>246.91210182365623</v>
      </c>
      <c r="E10" s="60">
        <f t="shared" si="1"/>
        <v>53.734560509118282</v>
      </c>
      <c r="F10" s="61">
        <f t="shared" si="1"/>
        <v>53.734560509118282</v>
      </c>
      <c r="G10" s="62">
        <f t="shared" si="1"/>
        <v>1947.0438293358882</v>
      </c>
      <c r="H10" s="61">
        <f t="shared" si="1"/>
        <v>107.46912101823656</v>
      </c>
      <c r="I10" s="62">
        <v>6000</v>
      </c>
      <c r="J10" s="1">
        <f>I10/I$9</f>
        <v>2.5661203681527356E-2</v>
      </c>
      <c r="K10" s="1"/>
      <c r="L10" s="1"/>
      <c r="M10" s="1"/>
    </row>
    <row r="11" spans="1:16">
      <c r="A11" s="1" t="s">
        <v>17</v>
      </c>
      <c r="B11" s="58">
        <f>$J11*B$9</f>
        <v>12061.230839634585</v>
      </c>
      <c r="C11" s="59">
        <f t="shared" si="1"/>
        <v>657.26896362952073</v>
      </c>
      <c r="D11" s="58">
        <f t="shared" si="1"/>
        <v>874.48036062544907</v>
      </c>
      <c r="E11" s="60">
        <f t="shared" si="1"/>
        <v>190.30990180312725</v>
      </c>
      <c r="F11" s="61">
        <f t="shared" si="1"/>
        <v>190.30990180312725</v>
      </c>
      <c r="G11" s="62">
        <f t="shared" si="1"/>
        <v>6895.7802288979374</v>
      </c>
      <c r="H11" s="61">
        <f t="shared" si="1"/>
        <v>380.61980360625449</v>
      </c>
      <c r="I11" s="62">
        <v>21250</v>
      </c>
      <c r="J11" s="1">
        <f t="shared" ref="J11:J13" si="2">I11/I$9</f>
        <v>9.0883429705409385E-2</v>
      </c>
      <c r="K11" s="1"/>
      <c r="L11" s="1"/>
      <c r="M11" s="1"/>
      <c r="P11" s="52"/>
    </row>
    <row r="12" spans="1:16">
      <c r="A12" s="54" t="s">
        <v>18</v>
      </c>
      <c r="B12" s="58">
        <f>$J12*B$9</f>
        <v>14189.683340746571</v>
      </c>
      <c r="C12" s="59">
        <f t="shared" si="1"/>
        <v>773.25760427002433</v>
      </c>
      <c r="D12" s="58">
        <f t="shared" si="1"/>
        <v>1028.8004242652341</v>
      </c>
      <c r="E12" s="60">
        <f t="shared" si="1"/>
        <v>223.89400212132617</v>
      </c>
      <c r="F12" s="61">
        <f t="shared" si="1"/>
        <v>223.89400212132617</v>
      </c>
      <c r="G12" s="62">
        <f t="shared" si="1"/>
        <v>8112.6826222328673</v>
      </c>
      <c r="H12" s="61">
        <f t="shared" si="1"/>
        <v>447.78800424265233</v>
      </c>
      <c r="I12" s="63">
        <f>25000</f>
        <v>25000</v>
      </c>
      <c r="J12" s="1">
        <f t="shared" si="2"/>
        <v>0.10692168200636398</v>
      </c>
      <c r="K12" s="1"/>
      <c r="L12" s="1"/>
      <c r="M12" s="1"/>
    </row>
    <row r="13" spans="1:16">
      <c r="A13" s="1" t="s">
        <v>19</v>
      </c>
      <c r="B13" s="58">
        <f>$J13*B$9</f>
        <v>2837.9366681493143</v>
      </c>
      <c r="C13" s="59">
        <f t="shared" si="1"/>
        <v>154.65152085400487</v>
      </c>
      <c r="D13" s="58">
        <f t="shared" si="1"/>
        <v>205.76008485304686</v>
      </c>
      <c r="E13" s="60">
        <f t="shared" si="1"/>
        <v>44.778800424265235</v>
      </c>
      <c r="F13" s="61">
        <f t="shared" si="1"/>
        <v>44.778800424265235</v>
      </c>
      <c r="G13" s="62">
        <f t="shared" si="1"/>
        <v>1622.5365244465734</v>
      </c>
      <c r="H13" s="61">
        <f t="shared" si="1"/>
        <v>89.55760084853047</v>
      </c>
      <c r="I13" s="62">
        <v>5000</v>
      </c>
      <c r="J13" s="1">
        <f t="shared" si="2"/>
        <v>2.1384336401272797E-2</v>
      </c>
      <c r="K13" s="1"/>
      <c r="L13" s="1"/>
      <c r="M13" s="1"/>
    </row>
    <row r="14" spans="1:16" s="57" customFormat="1">
      <c r="A14" s="18" t="s">
        <v>15</v>
      </c>
      <c r="B14" s="79">
        <f t="shared" ref="B14:H14" si="3">SUM(B9:B13)</f>
        <v>165205.37485030963</v>
      </c>
      <c r="C14" s="79">
        <f t="shared" si="3"/>
        <v>9002.7599137783545</v>
      </c>
      <c r="D14" s="79">
        <f t="shared" si="3"/>
        <v>11977.952971567387</v>
      </c>
      <c r="E14" s="79">
        <f t="shared" si="3"/>
        <v>2606.7172648578367</v>
      </c>
      <c r="F14" s="79">
        <f t="shared" si="3"/>
        <v>2606.7172648578367</v>
      </c>
      <c r="G14" s="79">
        <f t="shared" si="3"/>
        <v>94453.04320491328</v>
      </c>
      <c r="H14" s="79">
        <f t="shared" si="3"/>
        <v>5213.4345297156733</v>
      </c>
      <c r="I14" s="80">
        <f>SUM(B14:H14)</f>
        <v>291066</v>
      </c>
      <c r="J14" s="18"/>
      <c r="K14" s="18"/>
      <c r="L14" s="18"/>
      <c r="M14" s="18"/>
      <c r="N14" s="77">
        <f>I14-'2019 ny förd'!I14</f>
        <v>-59.999999999941792</v>
      </c>
    </row>
    <row r="15" spans="1:16" s="57" customFormat="1">
      <c r="A15" s="18"/>
      <c r="B15" s="79"/>
      <c r="C15" s="79"/>
      <c r="D15" s="79"/>
      <c r="E15" s="79"/>
      <c r="F15" s="79"/>
      <c r="G15" s="79"/>
      <c r="H15" s="79"/>
      <c r="I15" s="80"/>
      <c r="J15" s="18"/>
      <c r="K15" s="18"/>
      <c r="L15" s="18"/>
      <c r="M15" s="18"/>
      <c r="N15" s="77"/>
    </row>
    <row r="16" spans="1:16" s="84" customFormat="1">
      <c r="A16" s="84" t="s">
        <v>52</v>
      </c>
      <c r="B16" s="85"/>
      <c r="C16" s="85"/>
      <c r="D16" s="85"/>
      <c r="E16" s="85"/>
      <c r="F16" s="85"/>
      <c r="G16" s="85"/>
      <c r="H16" s="85"/>
      <c r="I16" s="85"/>
      <c r="N16" s="86"/>
    </row>
    <row r="17" spans="1:18">
      <c r="A17" s="20" t="s">
        <v>21</v>
      </c>
      <c r="B17" s="64"/>
      <c r="C17" s="64"/>
      <c r="D17" s="64"/>
      <c r="E17" s="64"/>
      <c r="F17" s="64"/>
      <c r="G17" s="64"/>
      <c r="H17" s="64"/>
      <c r="I17" s="64"/>
      <c r="J17" s="22" t="s">
        <v>22</v>
      </c>
      <c r="K17" s="22" t="s">
        <v>23</v>
      </c>
      <c r="L17" s="22">
        <v>2019</v>
      </c>
      <c r="M17" s="22">
        <v>2018</v>
      </c>
      <c r="N17" s="57" t="s">
        <v>50</v>
      </c>
    </row>
    <row r="18" spans="1:18">
      <c r="A18" s="33" t="s">
        <v>25</v>
      </c>
      <c r="B18" s="65">
        <f>(B14*22/75)</f>
        <v>48460.243289424157</v>
      </c>
      <c r="C18" s="65">
        <f>C14*22/88</f>
        <v>2250.6899784445886</v>
      </c>
      <c r="D18" s="65">
        <f>D14*22/52</f>
        <v>5067.595487970817</v>
      </c>
      <c r="E18" s="66" t="s">
        <v>26</v>
      </c>
      <c r="F18" s="65">
        <f>F14*22/124</f>
        <v>462.48209537800329</v>
      </c>
      <c r="G18" s="66" t="s">
        <v>26</v>
      </c>
      <c r="H18" s="66" t="s">
        <v>26</v>
      </c>
      <c r="I18" s="66"/>
      <c r="J18" s="37">
        <f>SUM(B18:I18)/22</f>
        <v>2556.4095841462531</v>
      </c>
      <c r="K18" s="38">
        <f>J18/12</f>
        <v>213.03413201218777</v>
      </c>
      <c r="L18" s="38">
        <v>206.9652405650348</v>
      </c>
      <c r="M18" s="38">
        <v>186.92849443567184</v>
      </c>
      <c r="N18" s="49">
        <f>K18*6</f>
        <v>1278.2047920731266</v>
      </c>
      <c r="O18" s="87">
        <v>1240.4130912323112</v>
      </c>
      <c r="P18" s="49">
        <v>1244.4742966122556</v>
      </c>
      <c r="Q18" s="49"/>
    </row>
    <row r="19" spans="1:18">
      <c r="A19" s="23" t="s">
        <v>27</v>
      </c>
      <c r="B19" s="67">
        <f>(B14*15/75)</f>
        <v>33041.074970061927</v>
      </c>
      <c r="C19" s="67">
        <f>C14*15/88</f>
        <v>1534.5613489394925</v>
      </c>
      <c r="D19" s="67">
        <f>D14*15/52</f>
        <v>3455.1787417982846</v>
      </c>
      <c r="E19" s="67">
        <f>E14*15/102</f>
        <v>383.34077424379956</v>
      </c>
      <c r="F19" s="67">
        <f>F14*15/124</f>
        <v>315.32870139409317</v>
      </c>
      <c r="G19" s="68" t="s">
        <v>26</v>
      </c>
      <c r="H19" s="68" t="s">
        <v>26</v>
      </c>
      <c r="I19" s="68"/>
      <c r="J19" s="26">
        <f>SUM(B19:I19)/15</f>
        <v>2581.9656357625063</v>
      </c>
      <c r="K19" s="27">
        <f>J19/12</f>
        <v>215.16380298020886</v>
      </c>
      <c r="L19" s="27">
        <v>217.69049467174719</v>
      </c>
      <c r="M19" s="27">
        <v>194.77781749823021</v>
      </c>
      <c r="N19" s="49">
        <f>K19*6</f>
        <v>1290.9828178812531</v>
      </c>
      <c r="O19" s="87">
        <v>1250.6777971146637</v>
      </c>
      <c r="P19" s="49">
        <v>1309.1591545858637</v>
      </c>
      <c r="Q19" s="49"/>
    </row>
    <row r="20" spans="1:18">
      <c r="A20" s="28" t="s">
        <v>28</v>
      </c>
      <c r="B20" s="69">
        <f>B14*15/75</f>
        <v>33041.074970061927</v>
      </c>
      <c r="C20" s="69">
        <f>C14*15/88</f>
        <v>1534.5613489394925</v>
      </c>
      <c r="D20" s="69">
        <f>D14*15/52</f>
        <v>3455.1787417982846</v>
      </c>
      <c r="E20" s="69">
        <f>E14*15/102</f>
        <v>383.34077424379956</v>
      </c>
      <c r="F20" s="69">
        <f>F14*15/124</f>
        <v>315.32870139409317</v>
      </c>
      <c r="G20" s="70" t="s">
        <v>26</v>
      </c>
      <c r="H20" s="70" t="s">
        <v>26</v>
      </c>
      <c r="I20" s="70"/>
      <c r="J20" s="31">
        <f>SUM(B20:H20)/15</f>
        <v>2581.9656357625063</v>
      </c>
      <c r="K20" s="32">
        <f>J20/12</f>
        <v>215.16380298020886</v>
      </c>
      <c r="L20" s="32">
        <v>217.69049467174719</v>
      </c>
      <c r="M20" s="32">
        <v>194.77781749823021</v>
      </c>
      <c r="N20" s="49">
        <f>K20*6</f>
        <v>1290.9828178812531</v>
      </c>
      <c r="O20" s="87">
        <v>1250.6777971146637</v>
      </c>
      <c r="P20" s="49">
        <v>1309.1591545858637</v>
      </c>
      <c r="Q20" s="49"/>
    </row>
    <row r="21" spans="1:18">
      <c r="A21" s="33" t="s">
        <v>29</v>
      </c>
      <c r="B21" s="65">
        <f>B14*23/75</f>
        <v>50662.981620761624</v>
      </c>
      <c r="C21" s="66" t="s">
        <v>26</v>
      </c>
      <c r="D21" s="66" t="s">
        <v>26</v>
      </c>
      <c r="E21" s="65">
        <f>E14*23/102</f>
        <v>587.78918717382589</v>
      </c>
      <c r="F21" s="65">
        <f>F14*23/124</f>
        <v>483.50400880427617</v>
      </c>
      <c r="G21" s="66" t="s">
        <v>26</v>
      </c>
      <c r="H21" s="66" t="s">
        <v>26</v>
      </c>
      <c r="I21" s="66"/>
      <c r="J21" s="37">
        <f>SUM(B21:H21)</f>
        <v>51734.274816739722</v>
      </c>
      <c r="K21" s="38">
        <f>J21/12</f>
        <v>4311.1895680616435</v>
      </c>
      <c r="L21" s="38">
        <v>4082.78564848017</v>
      </c>
      <c r="M21" s="38">
        <v>3539.3895110840035</v>
      </c>
      <c r="N21" s="49">
        <f>K21*6</f>
        <v>25867.137408369861</v>
      </c>
      <c r="O21" s="87">
        <v>25692.556116854059</v>
      </c>
      <c r="P21" s="49">
        <v>24534.30034249392</v>
      </c>
      <c r="Q21" s="49"/>
      <c r="R21" s="49"/>
    </row>
    <row r="22" spans="1:18">
      <c r="A22" s="22"/>
      <c r="B22" s="64"/>
      <c r="C22" s="64"/>
      <c r="D22" s="64"/>
      <c r="E22" s="71"/>
      <c r="F22" s="71"/>
      <c r="G22" s="64"/>
      <c r="H22" s="64"/>
      <c r="I22" s="64"/>
      <c r="J22" s="41"/>
      <c r="K22" s="42"/>
      <c r="L22" s="42"/>
      <c r="M22" s="42"/>
      <c r="O22" s="87"/>
      <c r="P22" s="49"/>
    </row>
    <row r="23" spans="1:18">
      <c r="A23" s="43" t="s">
        <v>30</v>
      </c>
      <c r="B23" s="72" t="s">
        <v>26</v>
      </c>
      <c r="C23" s="72" t="s">
        <v>26</v>
      </c>
      <c r="D23" s="72" t="s">
        <v>26</v>
      </c>
      <c r="E23" s="73">
        <f>E14*23/102</f>
        <v>587.78918717382589</v>
      </c>
      <c r="F23" s="73">
        <f>F14*23/124</f>
        <v>483.50400880427617</v>
      </c>
      <c r="G23" s="73">
        <f>G14*23/59</f>
        <v>36820.677859542462</v>
      </c>
      <c r="H23" s="72" t="s">
        <v>26</v>
      </c>
      <c r="I23" s="72"/>
      <c r="J23" s="47">
        <f>SUM(B23:H23)</f>
        <v>37891.971055520567</v>
      </c>
      <c r="K23" s="48">
        <f>J23/12</f>
        <v>3157.664254626714</v>
      </c>
      <c r="L23" s="48">
        <v>3182.6938594029566</v>
      </c>
      <c r="M23" s="48">
        <v>2750.5218113261344</v>
      </c>
      <c r="N23" s="49">
        <f>K23*6</f>
        <v>18945.985527760284</v>
      </c>
      <c r="O23" s="87">
        <v>20132.731032108295</v>
      </c>
      <c r="P23" s="49">
        <v>18974.475257748156</v>
      </c>
      <c r="Q23" s="49"/>
      <c r="R23" s="49"/>
    </row>
    <row r="24" spans="1:18">
      <c r="A24" s="22" t="s">
        <v>31</v>
      </c>
      <c r="B24" s="64" t="s">
        <v>26</v>
      </c>
      <c r="C24" s="71">
        <f>C14*26/88</f>
        <v>2659.9063381617866</v>
      </c>
      <c r="D24" s="64" t="s">
        <v>26</v>
      </c>
      <c r="E24" s="71">
        <f>E14*26/102</f>
        <v>664.45734202258575</v>
      </c>
      <c r="F24" s="71">
        <f>F14*26/124</f>
        <v>546.56974908309473</v>
      </c>
      <c r="G24" s="71">
        <f>G14*26/59</f>
        <v>41623.374971656696</v>
      </c>
      <c r="H24" s="71">
        <f>H14*26/26</f>
        <v>5213.4345297156733</v>
      </c>
      <c r="I24" s="64"/>
      <c r="J24" s="47">
        <f>SUM(B24:H24)/26</f>
        <v>1950.2978050246093</v>
      </c>
      <c r="K24" s="42">
        <f>J24/12</f>
        <v>162.52481708538411</v>
      </c>
      <c r="L24" s="42">
        <v>176.20029982892524</v>
      </c>
      <c r="M24" s="42">
        <v>170.34414859651045</v>
      </c>
      <c r="N24" s="49">
        <f>K24*6</f>
        <v>975.14890251230463</v>
      </c>
      <c r="O24" s="87">
        <v>996.96550246016614</v>
      </c>
      <c r="P24" s="49">
        <v>1055.4468599313652</v>
      </c>
      <c r="Q24" s="49"/>
    </row>
    <row r="25" spans="1:18">
      <c r="A25" s="43" t="s">
        <v>32</v>
      </c>
      <c r="B25" s="72" t="s">
        <v>26</v>
      </c>
      <c r="C25" s="73">
        <f>C14*10/88</f>
        <v>1023.0408992929948</v>
      </c>
      <c r="D25" s="72" t="s">
        <v>26</v>
      </c>
      <c r="E25" s="72" t="s">
        <v>26</v>
      </c>
      <c r="F25" s="72" t="s">
        <v>26</v>
      </c>
      <c r="G25" s="73">
        <f>G14*10/59</f>
        <v>16008.990373714114</v>
      </c>
      <c r="H25" s="72" t="s">
        <v>26</v>
      </c>
      <c r="I25" s="72"/>
      <c r="J25" s="47">
        <f>SUM(B25:H25)</f>
        <v>17032.031273007109</v>
      </c>
      <c r="K25" s="48">
        <f>J25/12</f>
        <v>1419.3359394172592</v>
      </c>
      <c r="L25" s="48">
        <v>1329.8625639816348</v>
      </c>
      <c r="M25" s="48">
        <v>1188.9984591679508</v>
      </c>
      <c r="N25" s="49">
        <f>K25*6</f>
        <v>8516.0156365035546</v>
      </c>
      <c r="O25" s="87">
        <v>8977.1878665225486</v>
      </c>
      <c r="P25" s="49">
        <v>7929.3968784968965</v>
      </c>
      <c r="Q25" s="49"/>
    </row>
    <row r="26" spans="1:18" hidden="1">
      <c r="A26" s="43"/>
      <c r="B26" s="44">
        <v>75</v>
      </c>
      <c r="C26" s="45">
        <v>88</v>
      </c>
      <c r="D26" s="44">
        <v>52</v>
      </c>
      <c r="E26" s="44">
        <v>102</v>
      </c>
      <c r="F26" s="44">
        <v>124</v>
      </c>
      <c r="G26" s="45">
        <v>59</v>
      </c>
      <c r="H26" s="44">
        <v>26</v>
      </c>
      <c r="I26" s="46"/>
      <c r="J26" s="47">
        <f>SUM(B26:I26)</f>
        <v>526</v>
      </c>
      <c r="K26" s="48"/>
      <c r="L26" s="48"/>
      <c r="M26" s="48"/>
      <c r="N26" s="49"/>
      <c r="P26" s="49"/>
      <c r="Q26" s="49"/>
    </row>
    <row r="27" spans="1:18" hidden="1">
      <c r="A27" s="43"/>
      <c r="B27" s="56">
        <f t="shared" ref="B27:H27" si="4">B26/$J26</f>
        <v>0.14258555133079848</v>
      </c>
      <c r="C27" s="56">
        <f t="shared" si="4"/>
        <v>0.16730038022813687</v>
      </c>
      <c r="D27" s="56">
        <f t="shared" si="4"/>
        <v>9.8859315589353611E-2</v>
      </c>
      <c r="E27" s="56">
        <f t="shared" si="4"/>
        <v>0.19391634980988592</v>
      </c>
      <c r="F27" s="56">
        <f t="shared" si="4"/>
        <v>0.23574144486692014</v>
      </c>
      <c r="G27" s="56">
        <f t="shared" si="4"/>
        <v>0.11216730038022814</v>
      </c>
      <c r="H27" s="56">
        <f t="shared" si="4"/>
        <v>4.9429657794676805E-2</v>
      </c>
      <c r="I27" s="46"/>
      <c r="J27" s="47"/>
      <c r="K27" s="48"/>
      <c r="L27" s="48"/>
      <c r="M27" s="48"/>
      <c r="N27" s="49"/>
      <c r="P27" s="49"/>
      <c r="Q27" s="49"/>
    </row>
    <row r="28" spans="1:18" hidden="1">
      <c r="A28" s="43"/>
      <c r="B28" s="44"/>
      <c r="C28" s="45"/>
      <c r="D28" s="44"/>
      <c r="E28" s="44"/>
      <c r="F28" s="44"/>
      <c r="G28" s="45"/>
      <c r="H28" s="44"/>
      <c r="I28" s="46"/>
      <c r="J28" s="47"/>
      <c r="K28" s="48"/>
      <c r="L28" s="48"/>
      <c r="M28" s="48"/>
      <c r="N28" s="49"/>
      <c r="P28" s="49"/>
      <c r="Q28" s="49"/>
    </row>
    <row r="29" spans="1:18">
      <c r="B29" s="51"/>
      <c r="C29" s="51"/>
      <c r="D29" s="51"/>
      <c r="E29" s="51"/>
      <c r="F29" s="51"/>
      <c r="G29" s="74"/>
      <c r="H29" s="74"/>
      <c r="I29" s="50"/>
      <c r="J29" s="50"/>
    </row>
    <row r="30" spans="1:18">
      <c r="E30" s="51"/>
      <c r="F30" s="51"/>
      <c r="G30" s="51"/>
      <c r="H30" s="51"/>
      <c r="I30" s="51"/>
      <c r="J30" s="51"/>
    </row>
    <row r="31" spans="1:18">
      <c r="E31" s="51"/>
      <c r="F31" s="51"/>
      <c r="G31" s="51"/>
      <c r="H31" s="51"/>
      <c r="I31" s="51"/>
      <c r="J31" s="51"/>
    </row>
    <row r="32" spans="1:18">
      <c r="E32" s="51"/>
      <c r="F32" s="51"/>
      <c r="G32" s="51"/>
      <c r="H32" s="51"/>
      <c r="I32" s="51"/>
      <c r="J32" s="51"/>
      <c r="K32" s="52"/>
    </row>
    <row r="33" spans="1:10">
      <c r="E33" s="51"/>
      <c r="F33" s="51"/>
      <c r="G33" s="51"/>
      <c r="H33" s="51"/>
      <c r="I33" s="51"/>
      <c r="J33" s="51"/>
    </row>
    <row r="34" spans="1:10">
      <c r="E34" s="51"/>
      <c r="F34" s="51"/>
      <c r="G34" s="51"/>
      <c r="H34" s="51"/>
      <c r="I34" s="51"/>
      <c r="J34" s="51"/>
    </row>
    <row r="35" spans="1:10">
      <c r="E35" s="51"/>
      <c r="F35" s="51"/>
      <c r="G35" s="51"/>
      <c r="H35" s="51"/>
      <c r="I35" s="51"/>
      <c r="J35" s="51"/>
    </row>
    <row r="36" spans="1:10">
      <c r="E36" s="51"/>
      <c r="F36" s="51"/>
      <c r="G36" s="51"/>
      <c r="H36" s="51"/>
      <c r="I36" s="51"/>
      <c r="J36" s="51"/>
    </row>
    <row r="37" spans="1:10">
      <c r="A37" s="53"/>
      <c r="B37" s="53"/>
      <c r="C37" s="53"/>
      <c r="D37" s="53"/>
      <c r="E37" s="53"/>
      <c r="F37" s="53"/>
      <c r="G37" s="53"/>
      <c r="H37" s="53"/>
      <c r="I37" s="53"/>
    </row>
    <row r="40" spans="1:10">
      <c r="I40" s="51"/>
    </row>
    <row r="41" spans="1:10">
      <c r="B41" s="75"/>
      <c r="C41" s="75"/>
      <c r="D41" s="75"/>
      <c r="E41" s="75"/>
      <c r="F41" s="75"/>
      <c r="G41" s="75"/>
      <c r="H41" s="75"/>
      <c r="I41" s="75"/>
    </row>
    <row r="42" spans="1:10">
      <c r="B42" s="78"/>
      <c r="C42" s="78"/>
      <c r="D42" s="78"/>
      <c r="E42" s="78"/>
      <c r="F42" s="78"/>
      <c r="G42" s="78"/>
      <c r="H42" s="78"/>
      <c r="I42" s="78"/>
    </row>
    <row r="43" spans="1:10">
      <c r="B43" s="78"/>
      <c r="C43" s="78"/>
      <c r="D43" s="78"/>
      <c r="E43" s="78"/>
      <c r="F43" s="78"/>
      <c r="G43" s="78"/>
      <c r="H43" s="78"/>
      <c r="I43" s="78"/>
    </row>
    <row r="44" spans="1:10">
      <c r="B44" s="78"/>
      <c r="C44" s="78"/>
      <c r="D44" s="78"/>
      <c r="E44" s="78"/>
      <c r="F44" s="78"/>
      <c r="G44" s="78"/>
      <c r="H44" s="78"/>
      <c r="I44" s="78"/>
    </row>
    <row r="45" spans="1:10">
      <c r="B45" s="78"/>
      <c r="C45" s="78"/>
      <c r="D45" s="78"/>
      <c r="E45" s="78"/>
      <c r="F45" s="78"/>
      <c r="G45" s="78"/>
      <c r="H45" s="78"/>
      <c r="I45" s="78"/>
    </row>
    <row r="46" spans="1:10">
      <c r="B46" s="78"/>
      <c r="C46" s="78"/>
      <c r="D46" s="78"/>
      <c r="E46" s="78"/>
      <c r="F46" s="78"/>
      <c r="G46" s="78"/>
      <c r="H46" s="78"/>
      <c r="I46" s="78"/>
    </row>
    <row r="47" spans="1:10">
      <c r="B47" s="78"/>
      <c r="C47" s="78"/>
      <c r="D47" s="78"/>
      <c r="E47" s="78"/>
      <c r="F47" s="78"/>
      <c r="G47" s="78"/>
      <c r="H47" s="78"/>
      <c r="I47" s="78"/>
    </row>
    <row r="48" spans="1:10">
      <c r="B48" s="78"/>
      <c r="C48" s="78"/>
      <c r="D48" s="78"/>
      <c r="E48" s="78"/>
      <c r="F48" s="78"/>
      <c r="G48" s="78"/>
      <c r="H48" s="78"/>
      <c r="I48" s="78"/>
    </row>
    <row r="49" spans="1:10">
      <c r="A49" s="53"/>
      <c r="B49" s="76"/>
      <c r="C49" s="76"/>
      <c r="D49" s="76"/>
      <c r="E49" s="76"/>
      <c r="F49" s="76"/>
      <c r="G49" s="76"/>
      <c r="H49" s="76"/>
      <c r="I49" s="76"/>
      <c r="J49" s="76"/>
    </row>
    <row r="50" spans="1:10">
      <c r="B50" s="76"/>
      <c r="C50" s="76"/>
      <c r="D50" s="76"/>
      <c r="E50" s="76"/>
      <c r="F50" s="76"/>
      <c r="G50" s="76"/>
      <c r="H50" s="76"/>
      <c r="I50" s="78"/>
    </row>
    <row r="51" spans="1:10">
      <c r="B51" s="76"/>
      <c r="C51" s="76"/>
      <c r="D51" s="76"/>
      <c r="E51" s="76"/>
      <c r="F51" s="76"/>
      <c r="G51" s="76"/>
      <c r="H51" s="76"/>
    </row>
    <row r="52" spans="1:10">
      <c r="B52" s="76"/>
      <c r="C52" s="76"/>
      <c r="D52" s="76"/>
      <c r="E52" s="76"/>
      <c r="F52" s="76"/>
      <c r="G52" s="76"/>
      <c r="H52" s="76"/>
      <c r="I52" s="51"/>
    </row>
    <row r="53" spans="1:10">
      <c r="B53" s="76"/>
      <c r="C53" s="76"/>
      <c r="D53" s="76"/>
      <c r="E53" s="76"/>
      <c r="F53" s="76"/>
      <c r="G53" s="76"/>
      <c r="H53" s="76"/>
    </row>
    <row r="54" spans="1:10">
      <c r="B54" s="76"/>
      <c r="C54" s="76"/>
      <c r="D54" s="76"/>
      <c r="E54" s="76"/>
      <c r="F54" s="76"/>
      <c r="G54" s="76"/>
      <c r="H54" s="76"/>
      <c r="I54" s="51"/>
    </row>
    <row r="55" spans="1:10">
      <c r="B55" s="76"/>
      <c r="C55" s="76"/>
      <c r="D55" s="76"/>
      <c r="E55" s="76"/>
      <c r="F55" s="76"/>
      <c r="G55" s="76"/>
      <c r="H55" s="76"/>
    </row>
    <row r="56" spans="1:10">
      <c r="B56" s="76"/>
      <c r="C56" s="76"/>
      <c r="D56" s="76"/>
      <c r="E56" s="76"/>
      <c r="F56" s="76"/>
      <c r="G56" s="76"/>
      <c r="H56" s="76"/>
      <c r="I56" s="51"/>
    </row>
    <row r="57" spans="1:10">
      <c r="A57" s="51"/>
      <c r="B57" s="77"/>
      <c r="C57" s="77"/>
      <c r="D57" s="77"/>
      <c r="E57" s="77"/>
      <c r="F57" s="77"/>
      <c r="G57" s="77"/>
      <c r="H57" s="77"/>
    </row>
    <row r="58" spans="1:10">
      <c r="A58" s="51"/>
      <c r="B58" s="76"/>
      <c r="C58" s="76"/>
      <c r="D58" s="76"/>
      <c r="E58" s="76"/>
      <c r="F58" s="76"/>
      <c r="G58" s="76"/>
      <c r="H58" s="76"/>
      <c r="I58" s="51"/>
    </row>
    <row r="60" spans="1:10">
      <c r="I60" s="51"/>
    </row>
  </sheetData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60"/>
  <sheetViews>
    <sheetView workbookViewId="0">
      <pane xSplit="1" ySplit="1" topLeftCell="B2" activePane="bottomRight" state="frozen"/>
      <selection pane="bottomRight" activeCell="B10" sqref="B10"/>
      <selection pane="bottomLeft" activeCell="A2" sqref="A2"/>
      <selection pane="topRight" activeCell="B1" sqref="B1"/>
    </sheetView>
  </sheetViews>
  <sheetFormatPr defaultRowHeight="12.75"/>
  <cols>
    <col min="1" max="1" width="44.5703125" bestFit="1" customWidth="1"/>
    <col min="2" max="14" width="22.28515625" customWidth="1"/>
    <col min="15" max="15" width="12.42578125" bestFit="1" customWidth="1"/>
  </cols>
  <sheetData>
    <row r="1" spans="1:16">
      <c r="A1" s="1"/>
      <c r="B1" s="3" t="s">
        <v>0</v>
      </c>
      <c r="C1" s="2" t="s">
        <v>1</v>
      </c>
      <c r="D1" s="3" t="s">
        <v>2</v>
      </c>
      <c r="E1" s="4" t="s">
        <v>3</v>
      </c>
      <c r="F1" s="5" t="s">
        <v>4</v>
      </c>
      <c r="G1" s="6" t="s">
        <v>5</v>
      </c>
      <c r="H1" s="5" t="s">
        <v>6</v>
      </c>
      <c r="I1" s="7" t="s">
        <v>7</v>
      </c>
      <c r="J1" s="1"/>
      <c r="K1" s="1"/>
      <c r="L1" s="1"/>
      <c r="M1" s="1"/>
    </row>
    <row r="2" spans="1:16">
      <c r="A2" s="1" t="s">
        <v>8</v>
      </c>
      <c r="B2" s="58">
        <f>26490+18000+15000</f>
        <v>59490</v>
      </c>
      <c r="C2" s="59">
        <v>2207</v>
      </c>
      <c r="D2" s="58">
        <v>0</v>
      </c>
      <c r="E2" s="60">
        <v>0</v>
      </c>
      <c r="F2" s="61">
        <v>0</v>
      </c>
      <c r="G2" s="62">
        <f>15453+12000+10000</f>
        <v>37453</v>
      </c>
      <c r="H2" s="61">
        <v>0</v>
      </c>
      <c r="I2" s="62">
        <f>SUM(B2:H2)</f>
        <v>99150</v>
      </c>
      <c r="J2" s="1"/>
      <c r="K2" s="1"/>
      <c r="L2" s="1"/>
      <c r="M2" s="1"/>
    </row>
    <row r="3" spans="1:16">
      <c r="A3" s="1" t="s">
        <v>9</v>
      </c>
      <c r="B3" s="58">
        <v>13000</v>
      </c>
      <c r="C3" s="59">
        <v>0</v>
      </c>
      <c r="D3" s="58">
        <v>0</v>
      </c>
      <c r="E3" s="60">
        <v>0</v>
      </c>
      <c r="F3" s="61">
        <v>0</v>
      </c>
      <c r="G3" s="62">
        <v>10000</v>
      </c>
      <c r="H3" s="61">
        <v>0</v>
      </c>
      <c r="I3" s="62">
        <f>SUM(B3:H3)</f>
        <v>23000</v>
      </c>
      <c r="J3" s="1"/>
      <c r="K3" s="1"/>
      <c r="L3" s="1"/>
      <c r="M3" s="1"/>
    </row>
    <row r="4" spans="1:16">
      <c r="A4" s="1" t="s">
        <v>10</v>
      </c>
      <c r="B4" s="58">
        <v>15500</v>
      </c>
      <c r="C4" s="59"/>
      <c r="D4" s="58"/>
      <c r="E4" s="60"/>
      <c r="F4" s="61"/>
      <c r="G4" s="62">
        <v>10000</v>
      </c>
      <c r="H4" s="61"/>
      <c r="I4" s="62">
        <f>SUM(B4:H4)</f>
        <v>25500</v>
      </c>
      <c r="J4" s="1"/>
      <c r="K4" s="1"/>
      <c r="L4" s="1"/>
      <c r="M4" s="1"/>
    </row>
    <row r="5" spans="1:16">
      <c r="A5" s="1" t="s">
        <v>11</v>
      </c>
      <c r="B5" s="58">
        <v>0</v>
      </c>
      <c r="C5" s="59">
        <v>0</v>
      </c>
      <c r="D5" s="58">
        <f>(2039*4)</f>
        <v>8156</v>
      </c>
      <c r="E5" s="60">
        <v>0</v>
      </c>
      <c r="F5" s="61">
        <v>0</v>
      </c>
      <c r="G5" s="62">
        <v>0</v>
      </c>
      <c r="H5" s="61">
        <v>0</v>
      </c>
      <c r="I5" s="62">
        <f>SUM(B5:H5)</f>
        <v>8156</v>
      </c>
      <c r="J5" s="1"/>
      <c r="K5" s="1"/>
      <c r="L5" s="1"/>
      <c r="M5" s="1"/>
    </row>
    <row r="6" spans="1:16">
      <c r="A6" s="1" t="s">
        <v>12</v>
      </c>
      <c r="B6" s="58">
        <v>35721</v>
      </c>
      <c r="C6" s="59">
        <v>5025</v>
      </c>
      <c r="D6" s="58">
        <v>1466</v>
      </c>
      <c r="E6" s="60">
        <v>2094</v>
      </c>
      <c r="F6" s="61">
        <v>2094</v>
      </c>
      <c r="G6" s="62">
        <v>9422</v>
      </c>
      <c r="H6" s="61">
        <v>4188</v>
      </c>
      <c r="I6" s="62">
        <f>SUM(B6:H6)</f>
        <v>60010</v>
      </c>
      <c r="J6" s="1"/>
      <c r="K6" s="1"/>
      <c r="L6" s="1"/>
      <c r="M6" s="1"/>
    </row>
    <row r="7" spans="1:16" hidden="1">
      <c r="A7" s="1" t="s">
        <v>13</v>
      </c>
      <c r="B7" s="58">
        <v>0</v>
      </c>
      <c r="C7" s="59">
        <v>0</v>
      </c>
      <c r="D7" s="58">
        <v>0</v>
      </c>
      <c r="E7" s="60">
        <v>0</v>
      </c>
      <c r="F7" s="61">
        <v>0</v>
      </c>
      <c r="G7" s="62">
        <v>0</v>
      </c>
      <c r="H7" s="61">
        <v>0</v>
      </c>
      <c r="I7" s="62"/>
      <c r="J7" s="1"/>
      <c r="K7" s="1"/>
      <c r="L7" s="1"/>
      <c r="M7" s="1"/>
    </row>
    <row r="8" spans="1:16">
      <c r="A8" s="1" t="s">
        <v>14</v>
      </c>
      <c r="B8" s="58">
        <v>9000</v>
      </c>
      <c r="C8" s="59">
        <v>0</v>
      </c>
      <c r="D8" s="58">
        <v>0</v>
      </c>
      <c r="E8" s="60">
        <v>0</v>
      </c>
      <c r="F8" s="61">
        <v>0</v>
      </c>
      <c r="G8" s="62">
        <v>9000</v>
      </c>
      <c r="H8" s="61">
        <v>0</v>
      </c>
      <c r="I8" s="62">
        <f>SUM(B8:H8)</f>
        <v>18000</v>
      </c>
      <c r="J8" s="1"/>
      <c r="K8" s="1"/>
      <c r="L8" s="1"/>
      <c r="M8" s="1"/>
    </row>
    <row r="9" spans="1:16" s="57" customFormat="1">
      <c r="A9" s="18" t="s">
        <v>15</v>
      </c>
      <c r="B9" s="79">
        <f t="shared" ref="B9:H9" si="0">SUM(B2:B8)</f>
        <v>132711</v>
      </c>
      <c r="C9" s="81">
        <f t="shared" si="0"/>
        <v>7232</v>
      </c>
      <c r="D9" s="79">
        <f t="shared" si="0"/>
        <v>9622</v>
      </c>
      <c r="E9" s="82">
        <f t="shared" si="0"/>
        <v>2094</v>
      </c>
      <c r="F9" s="83">
        <f t="shared" si="0"/>
        <v>2094</v>
      </c>
      <c r="G9" s="80">
        <f t="shared" si="0"/>
        <v>75875</v>
      </c>
      <c r="H9" s="83">
        <f t="shared" si="0"/>
        <v>4188</v>
      </c>
      <c r="I9" s="80">
        <f>SUM(B9:H9)</f>
        <v>233816</v>
      </c>
      <c r="J9" s="18"/>
      <c r="K9" s="18"/>
      <c r="L9" s="18"/>
      <c r="M9" s="18"/>
    </row>
    <row r="10" spans="1:16">
      <c r="A10" s="1" t="s">
        <v>16</v>
      </c>
      <c r="B10" s="58">
        <f>(75/134)*I10</f>
        <v>3358.2089552238804</v>
      </c>
      <c r="C10" s="59"/>
      <c r="D10" s="58"/>
      <c r="E10" s="60"/>
      <c r="F10" s="61"/>
      <c r="G10" s="62">
        <f>(59/134)*I10</f>
        <v>2641.7910447761192</v>
      </c>
      <c r="H10" s="61"/>
      <c r="I10" s="62">
        <v>6000</v>
      </c>
      <c r="J10" s="1"/>
      <c r="K10" s="1"/>
      <c r="L10" s="1"/>
      <c r="M10" s="1"/>
    </row>
    <row r="11" spans="1:16">
      <c r="A11" s="1" t="s">
        <v>17</v>
      </c>
      <c r="B11" s="58">
        <f t="shared" ref="B11:B13" si="1">(75/134)*I11</f>
        <v>11893.656716417909</v>
      </c>
      <c r="C11" s="59"/>
      <c r="D11" s="58"/>
      <c r="E11" s="60"/>
      <c r="F11" s="61"/>
      <c r="G11" s="62">
        <f t="shared" ref="G11:G13" si="2">(59/134)*I11</f>
        <v>9356.3432835820895</v>
      </c>
      <c r="H11" s="61"/>
      <c r="I11" s="62">
        <v>21250</v>
      </c>
      <c r="J11" s="1"/>
      <c r="K11" s="1"/>
      <c r="L11" s="1"/>
      <c r="M11" s="1"/>
      <c r="P11" s="52"/>
    </row>
    <row r="12" spans="1:16">
      <c r="A12" s="54" t="s">
        <v>18</v>
      </c>
      <c r="B12" s="58">
        <f t="shared" si="1"/>
        <v>13992.537313432835</v>
      </c>
      <c r="C12" s="59"/>
      <c r="D12" s="58"/>
      <c r="E12" s="60"/>
      <c r="F12" s="61"/>
      <c r="G12" s="62">
        <f t="shared" si="2"/>
        <v>11007.462686567163</v>
      </c>
      <c r="H12" s="61"/>
      <c r="I12" s="63">
        <f>25000</f>
        <v>25000</v>
      </c>
      <c r="J12" s="1"/>
      <c r="K12" s="1"/>
      <c r="L12" s="1"/>
      <c r="M12" s="1"/>
    </row>
    <row r="13" spans="1:16">
      <c r="A13" s="1" t="s">
        <v>19</v>
      </c>
      <c r="B13" s="58">
        <f t="shared" si="1"/>
        <v>2798.5074626865671</v>
      </c>
      <c r="C13" s="59"/>
      <c r="D13" s="58"/>
      <c r="E13" s="60"/>
      <c r="F13" s="61"/>
      <c r="G13" s="62">
        <f t="shared" si="2"/>
        <v>2201.4925373134329</v>
      </c>
      <c r="H13" s="61"/>
      <c r="I13" s="62">
        <v>5000</v>
      </c>
      <c r="J13" s="1"/>
      <c r="K13" s="1"/>
      <c r="L13" s="1"/>
      <c r="M13" s="1"/>
    </row>
    <row r="14" spans="1:16" s="57" customFormat="1">
      <c r="A14" s="18" t="s">
        <v>15</v>
      </c>
      <c r="B14" s="79">
        <f t="shared" ref="B14:H14" si="3">SUM(B9:B13)</f>
        <v>164753.91044776118</v>
      </c>
      <c r="C14" s="79">
        <f t="shared" si="3"/>
        <v>7232</v>
      </c>
      <c r="D14" s="79">
        <f t="shared" si="3"/>
        <v>9622</v>
      </c>
      <c r="E14" s="79">
        <f t="shared" si="3"/>
        <v>2094</v>
      </c>
      <c r="F14" s="79">
        <f t="shared" si="3"/>
        <v>2094</v>
      </c>
      <c r="G14" s="79">
        <f t="shared" si="3"/>
        <v>101082.0895522388</v>
      </c>
      <c r="H14" s="79">
        <f t="shared" si="3"/>
        <v>4188</v>
      </c>
      <c r="I14" s="80">
        <f>SUM(B14:H14)</f>
        <v>291066</v>
      </c>
      <c r="J14" s="18"/>
      <c r="K14" s="18"/>
      <c r="L14" s="18"/>
      <c r="M14" s="18"/>
      <c r="N14" s="77">
        <f>I14-'2019 ny förd'!I14</f>
        <v>-59.999999999941792</v>
      </c>
    </row>
    <row r="15" spans="1:16" s="57" customFormat="1">
      <c r="A15" s="18"/>
      <c r="B15" s="79"/>
      <c r="C15" s="79"/>
      <c r="D15" s="79"/>
      <c r="E15" s="79"/>
      <c r="F15" s="79"/>
      <c r="G15" s="79"/>
      <c r="H15" s="79"/>
      <c r="I15" s="80"/>
      <c r="J15" s="18"/>
      <c r="K15" s="18"/>
      <c r="L15" s="18"/>
      <c r="M15" s="18"/>
      <c r="N15" s="77"/>
    </row>
    <row r="16" spans="1:16" s="84" customFormat="1">
      <c r="A16" s="84" t="s">
        <v>52</v>
      </c>
      <c r="B16" s="85"/>
      <c r="C16" s="85"/>
      <c r="D16" s="85"/>
      <c r="E16" s="85"/>
      <c r="F16" s="85"/>
      <c r="G16" s="85"/>
      <c r="H16" s="85"/>
      <c r="I16" s="85"/>
      <c r="N16" s="86"/>
    </row>
    <row r="17" spans="1:18">
      <c r="A17" s="20" t="s">
        <v>21</v>
      </c>
      <c r="B17" s="64"/>
      <c r="C17" s="64"/>
      <c r="D17" s="64"/>
      <c r="E17" s="64"/>
      <c r="F17" s="64"/>
      <c r="G17" s="64"/>
      <c r="H17" s="64"/>
      <c r="I17" s="64"/>
      <c r="J17" s="22" t="s">
        <v>22</v>
      </c>
      <c r="K17" s="22" t="s">
        <v>23</v>
      </c>
      <c r="L17" s="22">
        <v>2019</v>
      </c>
      <c r="M17" s="22">
        <v>2018</v>
      </c>
      <c r="N17" s="57" t="s">
        <v>50</v>
      </c>
    </row>
    <row r="18" spans="1:18">
      <c r="A18" s="33" t="s">
        <v>25</v>
      </c>
      <c r="B18" s="65">
        <f>(B14*22/75)</f>
        <v>48327.813731343282</v>
      </c>
      <c r="C18" s="65">
        <f>C14*22/88</f>
        <v>1808</v>
      </c>
      <c r="D18" s="65">
        <f>D14*22/52</f>
        <v>4070.8461538461538</v>
      </c>
      <c r="E18" s="66" t="s">
        <v>26</v>
      </c>
      <c r="F18" s="65">
        <f>F14*22/124</f>
        <v>371.51612903225805</v>
      </c>
      <c r="G18" s="66" t="s">
        <v>26</v>
      </c>
      <c r="H18" s="66" t="s">
        <v>26</v>
      </c>
      <c r="I18" s="66"/>
      <c r="J18" s="37">
        <f>SUM(B18:I18)/22</f>
        <v>2480.8261824646224</v>
      </c>
      <c r="K18" s="38">
        <f>J18/12</f>
        <v>206.73551520538521</v>
      </c>
      <c r="L18" s="38">
        <v>206.9652405650348</v>
      </c>
      <c r="M18" s="38">
        <v>186.92849443567184</v>
      </c>
      <c r="N18" s="49">
        <f>K18*6</f>
        <v>1240.4130912323112</v>
      </c>
      <c r="O18" s="87">
        <v>1244.4742966122556</v>
      </c>
      <c r="P18" s="49"/>
      <c r="Q18" s="49"/>
    </row>
    <row r="19" spans="1:18">
      <c r="A19" s="23" t="s">
        <v>27</v>
      </c>
      <c r="B19" s="67">
        <f>(B14*15/75)</f>
        <v>32950.782089552231</v>
      </c>
      <c r="C19" s="67">
        <f>C14*15/88</f>
        <v>1232.7272727272727</v>
      </c>
      <c r="D19" s="67">
        <f>D14*15/52</f>
        <v>2775.5769230769229</v>
      </c>
      <c r="E19" s="67">
        <f>E14*15/102</f>
        <v>307.94117647058823</v>
      </c>
      <c r="F19" s="67">
        <f>F14*15/124</f>
        <v>253.30645161290323</v>
      </c>
      <c r="G19" s="68" t="s">
        <v>26</v>
      </c>
      <c r="H19" s="68" t="s">
        <v>26</v>
      </c>
      <c r="I19" s="68"/>
      <c r="J19" s="26">
        <f>SUM(B19:I19)/15</f>
        <v>2501.3555942293274</v>
      </c>
      <c r="K19" s="27">
        <f>J19/12</f>
        <v>208.44629951911062</v>
      </c>
      <c r="L19" s="27">
        <v>217.69049467174719</v>
      </c>
      <c r="M19" s="27">
        <v>194.77781749823021</v>
      </c>
      <c r="N19" s="49">
        <f>K19*6</f>
        <v>1250.6777971146637</v>
      </c>
      <c r="O19" s="87">
        <v>1309.1591545858637</v>
      </c>
      <c r="P19" s="49"/>
      <c r="Q19" s="49"/>
    </row>
    <row r="20" spans="1:18">
      <c r="A20" s="28" t="s">
        <v>28</v>
      </c>
      <c r="B20" s="69">
        <f>B14*15/75</f>
        <v>32950.782089552231</v>
      </c>
      <c r="C20" s="69">
        <f>C14*15/88</f>
        <v>1232.7272727272727</v>
      </c>
      <c r="D20" s="69">
        <f>D14*15/52</f>
        <v>2775.5769230769229</v>
      </c>
      <c r="E20" s="69">
        <f>E14*15/102</f>
        <v>307.94117647058823</v>
      </c>
      <c r="F20" s="69">
        <f>F14*15/124</f>
        <v>253.30645161290323</v>
      </c>
      <c r="G20" s="70" t="s">
        <v>26</v>
      </c>
      <c r="H20" s="70" t="s">
        <v>26</v>
      </c>
      <c r="I20" s="70"/>
      <c r="J20" s="31">
        <f>SUM(B20:H20)/15</f>
        <v>2501.3555942293274</v>
      </c>
      <c r="K20" s="32">
        <f>J20/12</f>
        <v>208.44629951911062</v>
      </c>
      <c r="L20" s="32">
        <v>217.69049467174719</v>
      </c>
      <c r="M20" s="32">
        <v>194.77781749823021</v>
      </c>
      <c r="N20" s="49">
        <f>K20*6</f>
        <v>1250.6777971146637</v>
      </c>
      <c r="O20" s="87">
        <v>1309.1591545858637</v>
      </c>
      <c r="P20" s="49"/>
      <c r="Q20" s="49"/>
    </row>
    <row r="21" spans="1:18">
      <c r="A21" s="33" t="s">
        <v>29</v>
      </c>
      <c r="B21" s="65">
        <f>B14*23/75</f>
        <v>50524.532537313426</v>
      </c>
      <c r="C21" s="66" t="s">
        <v>26</v>
      </c>
      <c r="D21" s="66" t="s">
        <v>26</v>
      </c>
      <c r="E21" s="65">
        <f>E14*23/102</f>
        <v>472.1764705882353</v>
      </c>
      <c r="F21" s="65">
        <f>F14*23/124</f>
        <v>388.40322580645159</v>
      </c>
      <c r="G21" s="66" t="s">
        <v>26</v>
      </c>
      <c r="H21" s="66" t="s">
        <v>26</v>
      </c>
      <c r="I21" s="66"/>
      <c r="J21" s="37">
        <f>SUM(B21:H21)</f>
        <v>51385.112233708118</v>
      </c>
      <c r="K21" s="38">
        <f>J21/12</f>
        <v>4282.0926861423432</v>
      </c>
      <c r="L21" s="38">
        <v>4082.78564848017</v>
      </c>
      <c r="M21" s="38">
        <v>3539.3895110840035</v>
      </c>
      <c r="N21" s="49">
        <f>K21*6</f>
        <v>25692.556116854059</v>
      </c>
      <c r="O21" s="87">
        <v>24534.30034249392</v>
      </c>
      <c r="P21" s="49"/>
      <c r="Q21" s="49"/>
      <c r="R21" s="49"/>
    </row>
    <row r="22" spans="1:18">
      <c r="A22" s="22"/>
      <c r="B22" s="64"/>
      <c r="C22" s="64"/>
      <c r="D22" s="64"/>
      <c r="E22" s="71"/>
      <c r="F22" s="71"/>
      <c r="G22" s="64"/>
      <c r="H22" s="64"/>
      <c r="I22" s="64"/>
      <c r="J22" s="41"/>
      <c r="K22" s="42"/>
      <c r="L22" s="42"/>
      <c r="M22" s="42"/>
      <c r="O22" s="87"/>
      <c r="P22" s="49"/>
    </row>
    <row r="23" spans="1:18">
      <c r="A23" s="43" t="s">
        <v>30</v>
      </c>
      <c r="B23" s="72" t="s">
        <v>26</v>
      </c>
      <c r="C23" s="72" t="s">
        <v>26</v>
      </c>
      <c r="D23" s="72" t="s">
        <v>26</v>
      </c>
      <c r="E23" s="73">
        <f>E14*23/102</f>
        <v>472.1764705882353</v>
      </c>
      <c r="F23" s="73">
        <f>F14*23/124</f>
        <v>388.40322580645159</v>
      </c>
      <c r="G23" s="73">
        <f>G14*23/59</f>
        <v>39404.882367821905</v>
      </c>
      <c r="H23" s="72" t="s">
        <v>26</v>
      </c>
      <c r="I23" s="72"/>
      <c r="J23" s="47">
        <f>SUM(B23:H23)</f>
        <v>40265.46206421659</v>
      </c>
      <c r="K23" s="48">
        <f>J23/12</f>
        <v>3355.4551720180493</v>
      </c>
      <c r="L23" s="48">
        <v>3182.6938594029566</v>
      </c>
      <c r="M23" s="48">
        <v>2750.5218113261344</v>
      </c>
      <c r="N23" s="49">
        <f>K23*6</f>
        <v>20132.731032108295</v>
      </c>
      <c r="O23" s="87">
        <v>18974.475257748156</v>
      </c>
      <c r="P23" s="49"/>
      <c r="Q23" s="49"/>
      <c r="R23" s="49"/>
    </row>
    <row r="24" spans="1:18">
      <c r="A24" s="22" t="s">
        <v>31</v>
      </c>
      <c r="B24" s="64" t="s">
        <v>26</v>
      </c>
      <c r="C24" s="71">
        <f>C14*26/88</f>
        <v>2136.7272727272725</v>
      </c>
      <c r="D24" s="64" t="s">
        <v>26</v>
      </c>
      <c r="E24" s="71">
        <f>E14*26/102</f>
        <v>533.76470588235293</v>
      </c>
      <c r="F24" s="71">
        <f>F14*26/124</f>
        <v>439.06451612903226</v>
      </c>
      <c r="G24" s="71">
        <f>G14*26/59</f>
        <v>44544.649633189976</v>
      </c>
      <c r="H24" s="71">
        <f>H14*26/26</f>
        <v>4188</v>
      </c>
      <c r="I24" s="64"/>
      <c r="J24" s="47">
        <f>SUM(B24:H24)/26</f>
        <v>1993.931004920332</v>
      </c>
      <c r="K24" s="42">
        <f>J24/12</f>
        <v>166.16091707669435</v>
      </c>
      <c r="L24" s="42">
        <v>176.20029982892524</v>
      </c>
      <c r="M24" s="42">
        <v>170.34414859651045</v>
      </c>
      <c r="N24" s="49">
        <f>K24*6</f>
        <v>996.96550246016614</v>
      </c>
      <c r="O24" s="87">
        <v>1055.4468599313652</v>
      </c>
      <c r="P24" s="49"/>
      <c r="Q24" s="49"/>
    </row>
    <row r="25" spans="1:18">
      <c r="A25" s="43" t="s">
        <v>32</v>
      </c>
      <c r="B25" s="72" t="s">
        <v>26</v>
      </c>
      <c r="C25" s="73">
        <f>C14*10/88</f>
        <v>821.81818181818187</v>
      </c>
      <c r="D25" s="72" t="s">
        <v>26</v>
      </c>
      <c r="E25" s="72" t="s">
        <v>26</v>
      </c>
      <c r="F25" s="72" t="s">
        <v>26</v>
      </c>
      <c r="G25" s="73">
        <f>G14*10/59</f>
        <v>17132.557551226917</v>
      </c>
      <c r="H25" s="72" t="s">
        <v>26</v>
      </c>
      <c r="I25" s="72"/>
      <c r="J25" s="47">
        <f>SUM(B25:H25)</f>
        <v>17954.375733045097</v>
      </c>
      <c r="K25" s="48">
        <f>J25/12</f>
        <v>1496.1979777537581</v>
      </c>
      <c r="L25" s="48">
        <v>1329.8625639816348</v>
      </c>
      <c r="M25" s="48">
        <v>1188.9984591679508</v>
      </c>
      <c r="N25" s="49">
        <f>K25*6</f>
        <v>8977.1878665225486</v>
      </c>
      <c r="O25" s="87">
        <v>7929.3968784968965</v>
      </c>
      <c r="P25" s="49"/>
      <c r="Q25" s="49"/>
    </row>
    <row r="26" spans="1:18" hidden="1">
      <c r="A26" s="43"/>
      <c r="B26" s="44">
        <v>75</v>
      </c>
      <c r="C26" s="45">
        <v>88</v>
      </c>
      <c r="D26" s="44">
        <v>52</v>
      </c>
      <c r="E26" s="44">
        <v>102</v>
      </c>
      <c r="F26" s="44">
        <v>124</v>
      </c>
      <c r="G26" s="45">
        <v>59</v>
      </c>
      <c r="H26" s="44">
        <v>26</v>
      </c>
      <c r="I26" s="46"/>
      <c r="J26" s="47">
        <f>SUM(B26:I26)</f>
        <v>526</v>
      </c>
      <c r="K26" s="48"/>
      <c r="L26" s="48"/>
      <c r="M26" s="48"/>
      <c r="N26" s="49"/>
      <c r="P26" s="49"/>
      <c r="Q26" s="49"/>
    </row>
    <row r="27" spans="1:18" hidden="1">
      <c r="A27" s="43"/>
      <c r="B27" s="56">
        <f t="shared" ref="B27:H27" si="4">B26/$J26</f>
        <v>0.14258555133079848</v>
      </c>
      <c r="C27" s="56">
        <f t="shared" si="4"/>
        <v>0.16730038022813687</v>
      </c>
      <c r="D27" s="56">
        <f t="shared" si="4"/>
        <v>9.8859315589353611E-2</v>
      </c>
      <c r="E27" s="56">
        <f t="shared" si="4"/>
        <v>0.19391634980988592</v>
      </c>
      <c r="F27" s="56">
        <f t="shared" si="4"/>
        <v>0.23574144486692014</v>
      </c>
      <c r="G27" s="56">
        <f t="shared" si="4"/>
        <v>0.11216730038022814</v>
      </c>
      <c r="H27" s="56">
        <f t="shared" si="4"/>
        <v>4.9429657794676805E-2</v>
      </c>
      <c r="I27" s="46"/>
      <c r="J27" s="47"/>
      <c r="K27" s="48"/>
      <c r="L27" s="48"/>
      <c r="M27" s="48"/>
      <c r="N27" s="49"/>
      <c r="P27" s="49"/>
      <c r="Q27" s="49"/>
    </row>
    <row r="28" spans="1:18" hidden="1">
      <c r="A28" s="43"/>
      <c r="B28" s="44"/>
      <c r="C28" s="45"/>
      <c r="D28" s="44"/>
      <c r="E28" s="44"/>
      <c r="F28" s="44"/>
      <c r="G28" s="45"/>
      <c r="H28" s="44"/>
      <c r="I28" s="46"/>
      <c r="J28" s="47"/>
      <c r="K28" s="48"/>
      <c r="L28" s="48"/>
      <c r="M28" s="48"/>
      <c r="N28" s="49"/>
      <c r="P28" s="49"/>
      <c r="Q28" s="49"/>
    </row>
    <row r="29" spans="1:18">
      <c r="B29" s="51" t="s">
        <v>33</v>
      </c>
      <c r="C29" s="51" t="s">
        <v>34</v>
      </c>
      <c r="D29" s="51" t="s">
        <v>35</v>
      </c>
      <c r="E29" s="51" t="s">
        <v>36</v>
      </c>
      <c r="F29" s="51" t="s">
        <v>37</v>
      </c>
      <c r="G29" s="74" t="s">
        <v>38</v>
      </c>
      <c r="H29" s="74" t="s">
        <v>39</v>
      </c>
      <c r="I29" s="50"/>
      <c r="J29" s="50"/>
    </row>
    <row r="30" spans="1:18">
      <c r="A30" t="s">
        <v>40</v>
      </c>
      <c r="B30">
        <v>22</v>
      </c>
      <c r="C30">
        <v>15</v>
      </c>
      <c r="D30">
        <v>15</v>
      </c>
      <c r="E30" s="51">
        <v>23</v>
      </c>
      <c r="F30" s="51"/>
      <c r="G30" s="51"/>
      <c r="H30" s="51"/>
      <c r="I30" s="51">
        <f t="shared" ref="I30:I36" si="5">SUM(B30:H30)</f>
        <v>75</v>
      </c>
      <c r="J30" s="51"/>
    </row>
    <row r="31" spans="1:18">
      <c r="A31" t="s">
        <v>41</v>
      </c>
      <c r="B31">
        <v>22</v>
      </c>
      <c r="C31">
        <v>15</v>
      </c>
      <c r="D31">
        <v>15</v>
      </c>
      <c r="E31" s="51"/>
      <c r="F31" s="51"/>
      <c r="G31" s="51">
        <v>26</v>
      </c>
      <c r="H31" s="51">
        <v>10</v>
      </c>
      <c r="I31" s="51">
        <f t="shared" si="5"/>
        <v>88</v>
      </c>
      <c r="J31" s="51"/>
    </row>
    <row r="32" spans="1:18">
      <c r="A32" t="s">
        <v>42</v>
      </c>
      <c r="B32">
        <v>22</v>
      </c>
      <c r="C32">
        <v>15</v>
      </c>
      <c r="D32">
        <v>15</v>
      </c>
      <c r="E32" s="51"/>
      <c r="F32" s="51"/>
      <c r="G32" s="51"/>
      <c r="H32" s="51"/>
      <c r="I32" s="51">
        <f t="shared" si="5"/>
        <v>52</v>
      </c>
      <c r="J32" s="51"/>
      <c r="K32" s="52"/>
    </row>
    <row r="33" spans="1:10">
      <c r="A33" t="s">
        <v>43</v>
      </c>
      <c r="C33">
        <v>15</v>
      </c>
      <c r="D33">
        <v>15</v>
      </c>
      <c r="E33" s="51">
        <v>23</v>
      </c>
      <c r="F33" s="51">
        <v>23</v>
      </c>
      <c r="G33" s="51">
        <v>26</v>
      </c>
      <c r="H33" s="51"/>
      <c r="I33" s="51">
        <f t="shared" si="5"/>
        <v>102</v>
      </c>
      <c r="J33" s="51"/>
    </row>
    <row r="34" spans="1:10">
      <c r="A34" t="s">
        <v>44</v>
      </c>
      <c r="B34">
        <v>22</v>
      </c>
      <c r="C34">
        <v>15</v>
      </c>
      <c r="D34">
        <v>15</v>
      </c>
      <c r="E34" s="51">
        <v>23</v>
      </c>
      <c r="F34" s="51">
        <v>23</v>
      </c>
      <c r="G34" s="51">
        <v>26</v>
      </c>
      <c r="H34" s="51"/>
      <c r="I34" s="51">
        <f t="shared" si="5"/>
        <v>124</v>
      </c>
      <c r="J34" s="51"/>
    </row>
    <row r="35" spans="1:10">
      <c r="A35" t="s">
        <v>45</v>
      </c>
      <c r="E35" s="51"/>
      <c r="F35" s="51">
        <v>23</v>
      </c>
      <c r="G35" s="51">
        <v>26</v>
      </c>
      <c r="H35" s="51">
        <v>10</v>
      </c>
      <c r="I35" s="51">
        <f t="shared" si="5"/>
        <v>59</v>
      </c>
      <c r="J35" s="51"/>
    </row>
    <row r="36" spans="1:10">
      <c r="A36" t="s">
        <v>46</v>
      </c>
      <c r="E36" s="51"/>
      <c r="F36" s="51"/>
      <c r="G36" s="51">
        <v>26</v>
      </c>
      <c r="H36" s="51"/>
      <c r="I36" s="51">
        <f t="shared" si="5"/>
        <v>26</v>
      </c>
      <c r="J36" s="51"/>
    </row>
    <row r="37" spans="1:10">
      <c r="A37" s="53" t="s">
        <v>47</v>
      </c>
      <c r="B37" s="53">
        <f>SUM(B30:B36)</f>
        <v>88</v>
      </c>
      <c r="C37" s="53">
        <f t="shared" ref="C37:I37" si="6">SUM(C30:C36)</f>
        <v>75</v>
      </c>
      <c r="D37" s="53">
        <f t="shared" si="6"/>
        <v>75</v>
      </c>
      <c r="E37" s="53">
        <f t="shared" si="6"/>
        <v>69</v>
      </c>
      <c r="F37" s="53">
        <f t="shared" si="6"/>
        <v>69</v>
      </c>
      <c r="G37" s="53">
        <f t="shared" si="6"/>
        <v>130</v>
      </c>
      <c r="H37" s="53">
        <f t="shared" si="6"/>
        <v>20</v>
      </c>
      <c r="I37" s="53">
        <f t="shared" si="6"/>
        <v>526</v>
      </c>
    </row>
    <row r="38" spans="1:10">
      <c r="B38">
        <f>B37/$I$37</f>
        <v>0.16730038022813687</v>
      </c>
      <c r="C38">
        <f t="shared" ref="C38:I38" si="7">C37/$I$37</f>
        <v>0.14258555133079848</v>
      </c>
      <c r="D38">
        <f t="shared" si="7"/>
        <v>0.14258555133079848</v>
      </c>
      <c r="E38">
        <f t="shared" si="7"/>
        <v>0.13117870722433461</v>
      </c>
      <c r="F38">
        <f t="shared" si="7"/>
        <v>0.13117870722433461</v>
      </c>
      <c r="G38">
        <f t="shared" si="7"/>
        <v>0.24714828897338403</v>
      </c>
      <c r="H38">
        <f t="shared" si="7"/>
        <v>3.8022813688212927E-2</v>
      </c>
      <c r="I38">
        <f t="shared" si="7"/>
        <v>1</v>
      </c>
    </row>
    <row r="39" spans="1:10">
      <c r="B39">
        <f t="shared" ref="B39:I39" si="8">B38*SUM($I$10:$I$13)</f>
        <v>9577.9467680608359</v>
      </c>
      <c r="C39">
        <f t="shared" si="8"/>
        <v>8163.0228136882124</v>
      </c>
      <c r="D39">
        <f t="shared" si="8"/>
        <v>8163.0228136882124</v>
      </c>
      <c r="E39">
        <f t="shared" si="8"/>
        <v>7509.9809885931563</v>
      </c>
      <c r="F39">
        <f t="shared" si="8"/>
        <v>7509.9809885931563</v>
      </c>
      <c r="G39">
        <f t="shared" si="8"/>
        <v>14149.239543726237</v>
      </c>
      <c r="H39">
        <f t="shared" si="8"/>
        <v>2176.80608365019</v>
      </c>
      <c r="I39">
        <f t="shared" si="8"/>
        <v>57250</v>
      </c>
    </row>
    <row r="40" spans="1:10">
      <c r="I40" s="51"/>
    </row>
    <row r="41" spans="1:10">
      <c r="B41" s="75"/>
      <c r="C41" s="75"/>
      <c r="D41" s="75"/>
      <c r="E41" s="75"/>
      <c r="F41" s="75"/>
      <c r="G41" s="75"/>
      <c r="H41" s="75"/>
      <c r="I41" s="75"/>
    </row>
    <row r="42" spans="1:10">
      <c r="A42" t="s">
        <v>40</v>
      </c>
      <c r="B42" s="78"/>
      <c r="C42" s="78"/>
      <c r="D42" s="78"/>
      <c r="E42" s="78"/>
      <c r="F42" s="78"/>
      <c r="G42" s="78"/>
      <c r="H42" s="78">
        <f>H30/$I30*SUM(H$10:H$13)</f>
        <v>0</v>
      </c>
      <c r="I42" s="78"/>
    </row>
    <row r="43" spans="1:10">
      <c r="A43" t="s">
        <v>41</v>
      </c>
      <c r="B43" s="78"/>
      <c r="C43" s="78"/>
      <c r="D43" s="78"/>
      <c r="E43" s="78"/>
      <c r="F43" s="78"/>
      <c r="G43" s="78"/>
      <c r="H43" s="78">
        <f t="shared" ref="H43:H48" si="9">H31/$I31*SUM(H$10:H$13)</f>
        <v>0</v>
      </c>
      <c r="I43" s="78"/>
    </row>
    <row r="44" spans="1:10">
      <c r="A44" t="s">
        <v>42</v>
      </c>
      <c r="B44" s="78"/>
      <c r="C44" s="78"/>
      <c r="D44" s="78"/>
      <c r="E44" s="78"/>
      <c r="F44" s="78"/>
      <c r="G44" s="78"/>
      <c r="H44" s="78">
        <f t="shared" si="9"/>
        <v>0</v>
      </c>
      <c r="I44" s="78"/>
    </row>
    <row r="45" spans="1:10">
      <c r="A45" t="s">
        <v>43</v>
      </c>
      <c r="B45" s="78"/>
      <c r="C45" s="78"/>
      <c r="D45" s="78"/>
      <c r="E45" s="78"/>
      <c r="F45" s="78"/>
      <c r="G45" s="78"/>
      <c r="H45" s="78">
        <f t="shared" si="9"/>
        <v>0</v>
      </c>
      <c r="I45" s="78"/>
    </row>
    <row r="46" spans="1:10">
      <c r="A46" t="s">
        <v>44</v>
      </c>
      <c r="B46" s="78"/>
      <c r="C46" s="78"/>
      <c r="D46" s="78"/>
      <c r="E46" s="78"/>
      <c r="F46" s="78"/>
      <c r="G46" s="78"/>
      <c r="H46" s="78">
        <f t="shared" si="9"/>
        <v>0</v>
      </c>
      <c r="I46" s="78"/>
    </row>
    <row r="47" spans="1:10">
      <c r="A47" t="s">
        <v>45</v>
      </c>
      <c r="B47" s="78"/>
      <c r="C47" s="78"/>
      <c r="D47" s="78"/>
      <c r="E47" s="78"/>
      <c r="F47" s="78"/>
      <c r="G47" s="78"/>
      <c r="H47" s="78">
        <f t="shared" si="9"/>
        <v>0</v>
      </c>
      <c r="I47" s="78"/>
    </row>
    <row r="48" spans="1:10">
      <c r="A48" t="s">
        <v>46</v>
      </c>
      <c r="B48" s="78">
        <f t="shared" ref="B48:G48" si="10">SUM(B10:B13)</f>
        <v>32042.910447761191</v>
      </c>
      <c r="C48" s="78">
        <f t="shared" si="10"/>
        <v>0</v>
      </c>
      <c r="D48" s="78">
        <f t="shared" si="10"/>
        <v>0</v>
      </c>
      <c r="E48" s="78">
        <f t="shared" si="10"/>
        <v>0</v>
      </c>
      <c r="F48" s="78">
        <f t="shared" si="10"/>
        <v>0</v>
      </c>
      <c r="G48" s="78">
        <f t="shared" si="10"/>
        <v>25207.089552238802</v>
      </c>
      <c r="H48" s="78">
        <f t="shared" si="9"/>
        <v>0</v>
      </c>
      <c r="I48" s="78"/>
    </row>
    <row r="49" spans="1:10">
      <c r="A49" s="53" t="s">
        <v>47</v>
      </c>
      <c r="B49" s="76">
        <f t="shared" ref="B49:G49" si="11">SUM(B42:B48)</f>
        <v>32042.910447761191</v>
      </c>
      <c r="C49" s="76">
        <f t="shared" si="11"/>
        <v>0</v>
      </c>
      <c r="D49" s="76">
        <f t="shared" si="11"/>
        <v>0</v>
      </c>
      <c r="E49" s="76">
        <f t="shared" si="11"/>
        <v>0</v>
      </c>
      <c r="F49" s="76">
        <f t="shared" si="11"/>
        <v>0</v>
      </c>
      <c r="G49" s="76">
        <f t="shared" si="11"/>
        <v>25207.089552238802</v>
      </c>
      <c r="H49" s="76">
        <f t="shared" ref="H49" si="12">SUM(H42:H48)</f>
        <v>0</v>
      </c>
      <c r="I49" s="76">
        <f>SUM(B49:H49)</f>
        <v>57249.999999999993</v>
      </c>
      <c r="J49" s="76">
        <f>I49/134</f>
        <v>427.2388059701492</v>
      </c>
    </row>
    <row r="50" spans="1:10">
      <c r="B50" s="76">
        <f>B49/22</f>
        <v>1456.4959294436906</v>
      </c>
      <c r="C50" s="76">
        <f t="shared" ref="C50:H50" si="13">C49/22</f>
        <v>0</v>
      </c>
      <c r="D50" s="76">
        <f t="shared" si="13"/>
        <v>0</v>
      </c>
      <c r="E50" s="76">
        <f t="shared" si="13"/>
        <v>0</v>
      </c>
      <c r="F50" s="76">
        <f t="shared" si="13"/>
        <v>0</v>
      </c>
      <c r="G50" s="76">
        <f t="shared" si="13"/>
        <v>1145.7767978290365</v>
      </c>
      <c r="H50" s="76">
        <f t="shared" si="13"/>
        <v>0</v>
      </c>
      <c r="I50" s="78"/>
    </row>
    <row r="51" spans="1:10">
      <c r="B51" s="76"/>
      <c r="C51" s="76"/>
      <c r="D51" s="76"/>
      <c r="E51" s="76"/>
      <c r="F51" s="76"/>
      <c r="G51" s="76"/>
      <c r="H51" s="76"/>
    </row>
    <row r="52" spans="1:10">
      <c r="B52" s="76"/>
      <c r="C52" s="76"/>
      <c r="D52" s="76"/>
      <c r="E52" s="76"/>
      <c r="F52" s="76"/>
      <c r="G52" s="76"/>
      <c r="H52" s="76"/>
      <c r="I52" s="51"/>
    </row>
    <row r="53" spans="1:10">
      <c r="B53" s="76"/>
      <c r="C53" s="76"/>
      <c r="D53" s="76"/>
      <c r="E53" s="76"/>
      <c r="F53" s="76"/>
      <c r="G53" s="76"/>
      <c r="H53" s="76"/>
    </row>
    <row r="54" spans="1:10">
      <c r="B54" s="76"/>
      <c r="C54" s="76"/>
      <c r="D54" s="76"/>
      <c r="E54" s="76"/>
      <c r="F54" s="76"/>
      <c r="G54" s="76"/>
      <c r="H54" s="76"/>
      <c r="I54" s="51"/>
    </row>
    <row r="55" spans="1:10">
      <c r="B55" s="76"/>
      <c r="C55" s="76"/>
      <c r="D55" s="76"/>
      <c r="E55" s="76"/>
      <c r="F55" s="76"/>
      <c r="G55" s="76"/>
      <c r="H55" s="76"/>
    </row>
    <row r="56" spans="1:10">
      <c r="B56" s="76"/>
      <c r="C56" s="76"/>
      <c r="D56" s="76"/>
      <c r="E56" s="76"/>
      <c r="F56" s="76"/>
      <c r="G56" s="76"/>
      <c r="H56" s="76"/>
      <c r="I56" s="51"/>
    </row>
    <row r="57" spans="1:10">
      <c r="A57" s="51"/>
      <c r="B57" s="77"/>
      <c r="C57" s="77"/>
      <c r="D57" s="77"/>
      <c r="E57" s="77"/>
      <c r="F57" s="77"/>
      <c r="G57" s="77"/>
      <c r="H57" s="77"/>
    </row>
    <row r="58" spans="1:10">
      <c r="A58" s="51"/>
      <c r="B58" s="76"/>
      <c r="C58" s="76"/>
      <c r="D58" s="76"/>
      <c r="E58" s="76"/>
      <c r="F58" s="76"/>
      <c r="G58" s="76"/>
      <c r="H58" s="76"/>
      <c r="I58" s="51"/>
    </row>
    <row r="60" spans="1:10">
      <c r="I60" s="51"/>
    </row>
  </sheetData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Fredrik Sandberg</dc:creator>
  <cp:keywords/>
  <dc:description/>
  <cp:lastModifiedBy>Fredrik Blomqvist</cp:lastModifiedBy>
  <cp:revision/>
  <dcterms:created xsi:type="dcterms:W3CDTF">2011-02-27T16:39:30Z</dcterms:created>
  <dcterms:modified xsi:type="dcterms:W3CDTF">2025-02-15T11:34:11Z</dcterms:modified>
  <cp:category/>
  <cp:contentStatus/>
</cp:coreProperties>
</file>